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allas\Downloads\"/>
    </mc:Choice>
  </mc:AlternateContent>
  <xr:revisionPtr revIDLastSave="0" documentId="13_ncr:1_{D7497533-1DC8-4281-B1B6-CD8938A664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rtida 1" sheetId="1" r:id="rId1"/>
    <sheet name="Partida 2" sheetId="3" r:id="rId2"/>
    <sheet name="Partida 5" sheetId="2" r:id="rId3"/>
  </sheets>
  <definedNames>
    <definedName name="_xlnm._FilterDatabase" localSheetId="0" hidden="1">'Partida 1'!$A$1:$AJ$361</definedName>
    <definedName name="_xlnm._FilterDatabase" localSheetId="1" hidden="1">'Partida 2'!$A$1:$L$1386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87" i="3" l="1"/>
  <c r="J102" i="2"/>
  <c r="J55" i="2"/>
  <c r="J23" i="2"/>
  <c r="J73" i="2"/>
  <c r="J76" i="2"/>
  <c r="J80" i="2"/>
  <c r="J83" i="2"/>
  <c r="K1385" i="3"/>
  <c r="J1385" i="3"/>
  <c r="J1384" i="3"/>
  <c r="K1384" i="3" s="1"/>
  <c r="K1383" i="3"/>
  <c r="J1383" i="3"/>
  <c r="J1382" i="3"/>
  <c r="K1382" i="3" s="1"/>
  <c r="J1381" i="3"/>
  <c r="K1381" i="3" s="1"/>
  <c r="J1380" i="3"/>
  <c r="K1380" i="3" s="1"/>
  <c r="K1379" i="3"/>
  <c r="J1379" i="3"/>
  <c r="J1378" i="3"/>
  <c r="K1378" i="3" s="1"/>
  <c r="K1377" i="3"/>
  <c r="J1377" i="3"/>
  <c r="J1376" i="3"/>
  <c r="K1376" i="3" s="1"/>
  <c r="K1375" i="3"/>
  <c r="J1375" i="3"/>
  <c r="J1374" i="3"/>
  <c r="K1374" i="3" s="1"/>
  <c r="K1373" i="3"/>
  <c r="J1373" i="3"/>
  <c r="J1372" i="3"/>
  <c r="K1372" i="3" s="1"/>
  <c r="K1371" i="3"/>
  <c r="J1371" i="3"/>
  <c r="J1370" i="3"/>
  <c r="K1370" i="3" s="1"/>
  <c r="K1369" i="3"/>
  <c r="J1369" i="3"/>
  <c r="J1368" i="3"/>
  <c r="K1368" i="3" s="1"/>
  <c r="K1367" i="3"/>
  <c r="J1367" i="3"/>
  <c r="J1366" i="3"/>
  <c r="I1364" i="3"/>
  <c r="K1363" i="3"/>
  <c r="J1363" i="3"/>
  <c r="K1362" i="3"/>
  <c r="J1362" i="3"/>
  <c r="J1361" i="3"/>
  <c r="K1361" i="3" s="1"/>
  <c r="J1360" i="3"/>
  <c r="K1360" i="3" s="1"/>
  <c r="J1359" i="3"/>
  <c r="K1359" i="3" s="1"/>
  <c r="J1358" i="3"/>
  <c r="K1358" i="3" s="1"/>
  <c r="K1357" i="3"/>
  <c r="J1357" i="3"/>
  <c r="J1356" i="3"/>
  <c r="K1356" i="3" s="1"/>
  <c r="K1355" i="3"/>
  <c r="J1355" i="3"/>
  <c r="K1354" i="3"/>
  <c r="J1354" i="3"/>
  <c r="J1353" i="3"/>
  <c r="K1353" i="3" s="1"/>
  <c r="J1352" i="3"/>
  <c r="K1352" i="3" s="1"/>
  <c r="J1351" i="3"/>
  <c r="K1351" i="3" s="1"/>
  <c r="J1350" i="3"/>
  <c r="K1350" i="3" s="1"/>
  <c r="K1349" i="3"/>
  <c r="J1349" i="3"/>
  <c r="J1348" i="3"/>
  <c r="K1348" i="3" s="1"/>
  <c r="J1347" i="3"/>
  <c r="K1347" i="3" s="1"/>
  <c r="K1346" i="3"/>
  <c r="J1346" i="3"/>
  <c r="J1345" i="3"/>
  <c r="K1345" i="3" s="1"/>
  <c r="J1344" i="3"/>
  <c r="K1344" i="3" s="1"/>
  <c r="J1343" i="3"/>
  <c r="K1343" i="3" s="1"/>
  <c r="J1342" i="3"/>
  <c r="K1342" i="3" s="1"/>
  <c r="K1341" i="3"/>
  <c r="J1341" i="3"/>
  <c r="J1340" i="3"/>
  <c r="K1340" i="3" s="1"/>
  <c r="K1339" i="3"/>
  <c r="J1339" i="3"/>
  <c r="I1337" i="3"/>
  <c r="J1336" i="3"/>
  <c r="K1335" i="3"/>
  <c r="J1334" i="3"/>
  <c r="K1334" i="3" s="1"/>
  <c r="J1333" i="3"/>
  <c r="K1333" i="3" s="1"/>
  <c r="K1332" i="3"/>
  <c r="J1332" i="3"/>
  <c r="J1331" i="3"/>
  <c r="K1331" i="3" s="1"/>
  <c r="K1330" i="3"/>
  <c r="J1330" i="3"/>
  <c r="K1329" i="3"/>
  <c r="J1329" i="3"/>
  <c r="J1328" i="3"/>
  <c r="K1328" i="3" s="1"/>
  <c r="J1327" i="3"/>
  <c r="J1337" i="3" s="1"/>
  <c r="J1324" i="3"/>
  <c r="K1324" i="3" s="1"/>
  <c r="K1323" i="3"/>
  <c r="J1322" i="3"/>
  <c r="K1322" i="3" s="1"/>
  <c r="J1321" i="3"/>
  <c r="K1321" i="3" s="1"/>
  <c r="K1320" i="3"/>
  <c r="K1319" i="3"/>
  <c r="K1318" i="3"/>
  <c r="K1317" i="3"/>
  <c r="K1316" i="3"/>
  <c r="K1315" i="3"/>
  <c r="J1314" i="3"/>
  <c r="K1314" i="3" s="1"/>
  <c r="K1313" i="3"/>
  <c r="K1312" i="3"/>
  <c r="K1311" i="3"/>
  <c r="K1310" i="3"/>
  <c r="J1310" i="3"/>
  <c r="J1309" i="3"/>
  <c r="K1309" i="3" s="1"/>
  <c r="K1308" i="3"/>
  <c r="J1308" i="3"/>
  <c r="J1307" i="3"/>
  <c r="K1307" i="3" s="1"/>
  <c r="K1306" i="3"/>
  <c r="J1306" i="3"/>
  <c r="J1305" i="3"/>
  <c r="K1305" i="3" s="1"/>
  <c r="K1304" i="3"/>
  <c r="J1304" i="3"/>
  <c r="J1303" i="3"/>
  <c r="K1303" i="3" s="1"/>
  <c r="K1302" i="3"/>
  <c r="J1302" i="3"/>
  <c r="J1301" i="3"/>
  <c r="K1301" i="3" s="1"/>
  <c r="K1300" i="3"/>
  <c r="J1300" i="3"/>
  <c r="J1299" i="3"/>
  <c r="K1299" i="3" s="1"/>
  <c r="K1298" i="3"/>
  <c r="J1298" i="3"/>
  <c r="J1297" i="3"/>
  <c r="K1297" i="3" s="1"/>
  <c r="K1296" i="3"/>
  <c r="J1296" i="3"/>
  <c r="J1295" i="3"/>
  <c r="K1295" i="3" s="1"/>
  <c r="K1294" i="3"/>
  <c r="J1294" i="3"/>
  <c r="J1293" i="3"/>
  <c r="K1293" i="3" s="1"/>
  <c r="K1292" i="3"/>
  <c r="J1292" i="3"/>
  <c r="J1291" i="3"/>
  <c r="K1291" i="3" s="1"/>
  <c r="K1290" i="3"/>
  <c r="J1290" i="3"/>
  <c r="J1289" i="3"/>
  <c r="K1289" i="3" s="1"/>
  <c r="K1288" i="3"/>
  <c r="J1288" i="3"/>
  <c r="J1287" i="3"/>
  <c r="K1287" i="3" s="1"/>
  <c r="K1286" i="3"/>
  <c r="J1286" i="3"/>
  <c r="J1285" i="3"/>
  <c r="K1285" i="3" s="1"/>
  <c r="K1284" i="3"/>
  <c r="J1284" i="3"/>
  <c r="J1283" i="3"/>
  <c r="K1283" i="3" s="1"/>
  <c r="K1282" i="3"/>
  <c r="K1281" i="3"/>
  <c r="K1280" i="3"/>
  <c r="K1279" i="3"/>
  <c r="K1278" i="3"/>
  <c r="K1277" i="3"/>
  <c r="J1276" i="3"/>
  <c r="K1276" i="3" s="1"/>
  <c r="K1275" i="3"/>
  <c r="J1275" i="3"/>
  <c r="J1274" i="3"/>
  <c r="K1274" i="3" s="1"/>
  <c r="K1273" i="3"/>
  <c r="J1273" i="3"/>
  <c r="J1272" i="3"/>
  <c r="K1272" i="3" s="1"/>
  <c r="K1271" i="3"/>
  <c r="J1271" i="3"/>
  <c r="J1270" i="3"/>
  <c r="K1270" i="3" s="1"/>
  <c r="K1269" i="3"/>
  <c r="J1269" i="3"/>
  <c r="J1268" i="3"/>
  <c r="K1268" i="3" s="1"/>
  <c r="K1267" i="3"/>
  <c r="J1267" i="3"/>
  <c r="J1266" i="3"/>
  <c r="K1266" i="3" s="1"/>
  <c r="K1265" i="3"/>
  <c r="K1264" i="3"/>
  <c r="K1263" i="3"/>
  <c r="J1262" i="3"/>
  <c r="K1262" i="3" s="1"/>
  <c r="J1261" i="3"/>
  <c r="K1261" i="3" s="1"/>
  <c r="J1260" i="3"/>
  <c r="K1260" i="3" s="1"/>
  <c r="K1259" i="3"/>
  <c r="K1258" i="3"/>
  <c r="K1257" i="3"/>
  <c r="J1257" i="3"/>
  <c r="J1256" i="3"/>
  <c r="K1256" i="3" s="1"/>
  <c r="J1255" i="3"/>
  <c r="K1255" i="3" s="1"/>
  <c r="K1254" i="3"/>
  <c r="J1254" i="3"/>
  <c r="J1253" i="3"/>
  <c r="K1253" i="3" s="1"/>
  <c r="J1252" i="3"/>
  <c r="K1252" i="3" s="1"/>
  <c r="J1251" i="3"/>
  <c r="K1251" i="3" s="1"/>
  <c r="K1250" i="3"/>
  <c r="K1249" i="3"/>
  <c r="K1248" i="3"/>
  <c r="K1245" i="3"/>
  <c r="I1245" i="3"/>
  <c r="I1325" i="3" s="1"/>
  <c r="K1244" i="3"/>
  <c r="I1242" i="3"/>
  <c r="K1241" i="3"/>
  <c r="J1240" i="3"/>
  <c r="K1240" i="3" s="1"/>
  <c r="J1239" i="3"/>
  <c r="K1239" i="3" s="1"/>
  <c r="J1238" i="3"/>
  <c r="K1238" i="3" s="1"/>
  <c r="J1237" i="3"/>
  <c r="K1237" i="3" s="1"/>
  <c r="K1242" i="3" s="1"/>
  <c r="K1236" i="3"/>
  <c r="K1235" i="3"/>
  <c r="K1234" i="3"/>
  <c r="K1233" i="3"/>
  <c r="K1232" i="3"/>
  <c r="I1230" i="3"/>
  <c r="J1229" i="3"/>
  <c r="K1229" i="3" s="1"/>
  <c r="J1228" i="3"/>
  <c r="K1228" i="3" s="1"/>
  <c r="J1227" i="3"/>
  <c r="K1227" i="3" s="1"/>
  <c r="J1226" i="3"/>
  <c r="K1226" i="3" s="1"/>
  <c r="K1225" i="3"/>
  <c r="J1225" i="3"/>
  <c r="J1224" i="3"/>
  <c r="K1224" i="3" s="1"/>
  <c r="J1223" i="3"/>
  <c r="K1223" i="3" s="1"/>
  <c r="K1222" i="3"/>
  <c r="J1222" i="3"/>
  <c r="K1221" i="3"/>
  <c r="K1220" i="3"/>
  <c r="J1220" i="3"/>
  <c r="J1219" i="3"/>
  <c r="K1219" i="3" s="1"/>
  <c r="K1218" i="3"/>
  <c r="J1218" i="3"/>
  <c r="J1217" i="3"/>
  <c r="K1217" i="3" s="1"/>
  <c r="K1216" i="3"/>
  <c r="J1216" i="3"/>
  <c r="J1215" i="3"/>
  <c r="K1215" i="3" s="1"/>
  <c r="K1214" i="3"/>
  <c r="J1214" i="3"/>
  <c r="J1213" i="3"/>
  <c r="K1213" i="3" s="1"/>
  <c r="K1212" i="3"/>
  <c r="J1212" i="3"/>
  <c r="J1211" i="3"/>
  <c r="K1211" i="3" s="1"/>
  <c r="K1210" i="3"/>
  <c r="J1210" i="3"/>
  <c r="J1209" i="3"/>
  <c r="K1209" i="3" s="1"/>
  <c r="K1208" i="3"/>
  <c r="J1208" i="3"/>
  <c r="J1207" i="3"/>
  <c r="K1207" i="3" s="1"/>
  <c r="K1206" i="3"/>
  <c r="J1206" i="3"/>
  <c r="K1205" i="3"/>
  <c r="J1204" i="3"/>
  <c r="K1204" i="3" s="1"/>
  <c r="H1203" i="3"/>
  <c r="J1203" i="3" s="1"/>
  <c r="K1200" i="3"/>
  <c r="J1200" i="3"/>
  <c r="K1199" i="3"/>
  <c r="J1198" i="3"/>
  <c r="I1196" i="3"/>
  <c r="J1195" i="3"/>
  <c r="K1195" i="3" s="1"/>
  <c r="J1194" i="3"/>
  <c r="K1194" i="3" s="1"/>
  <c r="J1193" i="3"/>
  <c r="K1193" i="3" s="1"/>
  <c r="J1192" i="3"/>
  <c r="K1192" i="3" s="1"/>
  <c r="K1191" i="3"/>
  <c r="J1191" i="3"/>
  <c r="J1190" i="3"/>
  <c r="K1190" i="3" s="1"/>
  <c r="J1189" i="3"/>
  <c r="K1189" i="3" s="1"/>
  <c r="K1188" i="3"/>
  <c r="J1188" i="3"/>
  <c r="J1187" i="3"/>
  <c r="K1187" i="3" s="1"/>
  <c r="J1186" i="3"/>
  <c r="K1186" i="3" s="1"/>
  <c r="J1185" i="3"/>
  <c r="K1185" i="3" s="1"/>
  <c r="J1184" i="3"/>
  <c r="K1184" i="3" s="1"/>
  <c r="K1183" i="3"/>
  <c r="J1183" i="3"/>
  <c r="J1182" i="3"/>
  <c r="K1182" i="3" s="1"/>
  <c r="J1181" i="3"/>
  <c r="K1181" i="3" s="1"/>
  <c r="K1180" i="3"/>
  <c r="J1180" i="3"/>
  <c r="J1179" i="3"/>
  <c r="K1179" i="3" s="1"/>
  <c r="J1178" i="3"/>
  <c r="K1178" i="3" s="1"/>
  <c r="J1177" i="3"/>
  <c r="I1175" i="3"/>
  <c r="K1174" i="3"/>
  <c r="J1174" i="3"/>
  <c r="J1173" i="3"/>
  <c r="K1173" i="3" s="1"/>
  <c r="K1172" i="3"/>
  <c r="J1172" i="3"/>
  <c r="J1171" i="3"/>
  <c r="K1171" i="3" s="1"/>
  <c r="K1170" i="3"/>
  <c r="J1170" i="3"/>
  <c r="J1169" i="3"/>
  <c r="K1169" i="3" s="1"/>
  <c r="K1168" i="3"/>
  <c r="J1168" i="3"/>
  <c r="J1167" i="3"/>
  <c r="K1167" i="3" s="1"/>
  <c r="K1166" i="3"/>
  <c r="J1166" i="3"/>
  <c r="J1165" i="3"/>
  <c r="K1164" i="3"/>
  <c r="J1164" i="3"/>
  <c r="J1163" i="3"/>
  <c r="K1163" i="3" s="1"/>
  <c r="I1161" i="3"/>
  <c r="J1160" i="3"/>
  <c r="K1160" i="3" s="1"/>
  <c r="J1159" i="3"/>
  <c r="K1159" i="3" s="1"/>
  <c r="K1158" i="3"/>
  <c r="K1157" i="3"/>
  <c r="K1156" i="3"/>
  <c r="J1155" i="3"/>
  <c r="K1155" i="3" s="1"/>
  <c r="K1154" i="3"/>
  <c r="J1154" i="3"/>
  <c r="J1153" i="3"/>
  <c r="K1153" i="3" s="1"/>
  <c r="K1152" i="3"/>
  <c r="J1152" i="3"/>
  <c r="J1151" i="3"/>
  <c r="K1151" i="3" s="1"/>
  <c r="K1150" i="3"/>
  <c r="J1150" i="3"/>
  <c r="J1149" i="3"/>
  <c r="K1149" i="3" s="1"/>
  <c r="K1148" i="3"/>
  <c r="J1148" i="3"/>
  <c r="J1147" i="3"/>
  <c r="K1147" i="3" s="1"/>
  <c r="K1146" i="3"/>
  <c r="J1146" i="3"/>
  <c r="K1145" i="3"/>
  <c r="K1144" i="3"/>
  <c r="K1143" i="3"/>
  <c r="J1143" i="3"/>
  <c r="J1142" i="3"/>
  <c r="K1141" i="3"/>
  <c r="K1140" i="3"/>
  <c r="K1139" i="3"/>
  <c r="J1136" i="3"/>
  <c r="K1136" i="3" s="1"/>
  <c r="K1135" i="3"/>
  <c r="J1135" i="3"/>
  <c r="K1134" i="3"/>
  <c r="J1134" i="3"/>
  <c r="J1133" i="3"/>
  <c r="K1133" i="3" s="1"/>
  <c r="J1132" i="3"/>
  <c r="K1132" i="3" s="1"/>
  <c r="J1131" i="3"/>
  <c r="K1131" i="3" s="1"/>
  <c r="J1130" i="3"/>
  <c r="K1130" i="3" s="1"/>
  <c r="K1129" i="3"/>
  <c r="J1129" i="3"/>
  <c r="J1128" i="3"/>
  <c r="K1128" i="3" s="1"/>
  <c r="K1127" i="3"/>
  <c r="J1127" i="3"/>
  <c r="K1126" i="3"/>
  <c r="J1126" i="3"/>
  <c r="J1125" i="3"/>
  <c r="K1125" i="3" s="1"/>
  <c r="J1124" i="3"/>
  <c r="K1124" i="3" s="1"/>
  <c r="J1123" i="3"/>
  <c r="K1123" i="3" s="1"/>
  <c r="J1122" i="3"/>
  <c r="K1122" i="3" s="1"/>
  <c r="K1121" i="3"/>
  <c r="J1121" i="3"/>
  <c r="J1120" i="3"/>
  <c r="K1120" i="3" s="1"/>
  <c r="J1119" i="3"/>
  <c r="K1119" i="3" s="1"/>
  <c r="K1118" i="3"/>
  <c r="J1117" i="3"/>
  <c r="K1117" i="3" s="1"/>
  <c r="K1116" i="3"/>
  <c r="J1116" i="3"/>
  <c r="K1115" i="3"/>
  <c r="K1114" i="3"/>
  <c r="K1113" i="3"/>
  <c r="K1112" i="3"/>
  <c r="J1111" i="3"/>
  <c r="K1111" i="3" s="1"/>
  <c r="K1110" i="3"/>
  <c r="J1110" i="3"/>
  <c r="J1109" i="3"/>
  <c r="K1109" i="3" s="1"/>
  <c r="K1108" i="3"/>
  <c r="J1108" i="3"/>
  <c r="J1107" i="3"/>
  <c r="K1107" i="3" s="1"/>
  <c r="K1106" i="3"/>
  <c r="J1106" i="3"/>
  <c r="J1105" i="3"/>
  <c r="K1105" i="3" s="1"/>
  <c r="K1104" i="3"/>
  <c r="K1137" i="3" s="1"/>
  <c r="J1104" i="3"/>
  <c r="I1102" i="3"/>
  <c r="J1101" i="3"/>
  <c r="K1101" i="3" s="1"/>
  <c r="J1100" i="3"/>
  <c r="K1100" i="3" s="1"/>
  <c r="K1099" i="3"/>
  <c r="J1099" i="3"/>
  <c r="J1098" i="3"/>
  <c r="K1098" i="3" s="1"/>
  <c r="J1097" i="3"/>
  <c r="K1097" i="3" s="1"/>
  <c r="J1096" i="3"/>
  <c r="K1096" i="3" s="1"/>
  <c r="J1095" i="3"/>
  <c r="K1095" i="3" s="1"/>
  <c r="K1094" i="3"/>
  <c r="J1094" i="3"/>
  <c r="J1093" i="3"/>
  <c r="K1093" i="3" s="1"/>
  <c r="J1092" i="3"/>
  <c r="K1092" i="3" s="1"/>
  <c r="K1091" i="3"/>
  <c r="J1091" i="3"/>
  <c r="J1090" i="3"/>
  <c r="K1090" i="3" s="1"/>
  <c r="J1089" i="3"/>
  <c r="K1089" i="3" s="1"/>
  <c r="J1088" i="3"/>
  <c r="K1088" i="3" s="1"/>
  <c r="J1087" i="3"/>
  <c r="K1087" i="3" s="1"/>
  <c r="K1086" i="3"/>
  <c r="J1086" i="3"/>
  <c r="J1085" i="3"/>
  <c r="K1085" i="3" s="1"/>
  <c r="J1084" i="3"/>
  <c r="K1084" i="3" s="1"/>
  <c r="K1083" i="3"/>
  <c r="J1083" i="3"/>
  <c r="J1082" i="3"/>
  <c r="K1082" i="3" s="1"/>
  <c r="J1081" i="3"/>
  <c r="K1081" i="3" s="1"/>
  <c r="J1080" i="3"/>
  <c r="K1080" i="3" s="1"/>
  <c r="I1078" i="3"/>
  <c r="K1077" i="3"/>
  <c r="J1077" i="3"/>
  <c r="J1076" i="3"/>
  <c r="K1076" i="3" s="1"/>
  <c r="K1075" i="3"/>
  <c r="J1075" i="3"/>
  <c r="J1074" i="3"/>
  <c r="K1074" i="3" s="1"/>
  <c r="K1073" i="3"/>
  <c r="J1073" i="3"/>
  <c r="J1072" i="3"/>
  <c r="K1072" i="3" s="1"/>
  <c r="K1071" i="3"/>
  <c r="J1071" i="3"/>
  <c r="J1070" i="3"/>
  <c r="K1070" i="3" s="1"/>
  <c r="K1069" i="3"/>
  <c r="J1069" i="3"/>
  <c r="J1068" i="3"/>
  <c r="K1068" i="3" s="1"/>
  <c r="K1067" i="3"/>
  <c r="K1066" i="3"/>
  <c r="J1066" i="3"/>
  <c r="J1065" i="3"/>
  <c r="K1065" i="3" s="1"/>
  <c r="K1064" i="3"/>
  <c r="K1063" i="3"/>
  <c r="J1062" i="3"/>
  <c r="I1060" i="3"/>
  <c r="K1059" i="3"/>
  <c r="J1059" i="3"/>
  <c r="J1057" i="3"/>
  <c r="K1057" i="3" s="1"/>
  <c r="K1056" i="3"/>
  <c r="J1056" i="3"/>
  <c r="J1055" i="3"/>
  <c r="K1055" i="3" s="1"/>
  <c r="K1054" i="3"/>
  <c r="J1054" i="3"/>
  <c r="J1053" i="3"/>
  <c r="K1053" i="3" s="1"/>
  <c r="K1052" i="3"/>
  <c r="J1052" i="3"/>
  <c r="J1051" i="3"/>
  <c r="K1051" i="3" s="1"/>
  <c r="K1050" i="3"/>
  <c r="J1050" i="3"/>
  <c r="J1049" i="3"/>
  <c r="K1049" i="3" s="1"/>
  <c r="K1048" i="3"/>
  <c r="J1048" i="3"/>
  <c r="J1047" i="3"/>
  <c r="K1047" i="3" s="1"/>
  <c r="K1046" i="3"/>
  <c r="J1046" i="3"/>
  <c r="J1045" i="3"/>
  <c r="K1045" i="3" s="1"/>
  <c r="K1044" i="3"/>
  <c r="J1044" i="3"/>
  <c r="J1043" i="3"/>
  <c r="K1043" i="3" s="1"/>
  <c r="K1042" i="3"/>
  <c r="J1041" i="3"/>
  <c r="K1041" i="3" s="1"/>
  <c r="J1040" i="3"/>
  <c r="K1040" i="3" s="1"/>
  <c r="K1039" i="3"/>
  <c r="K1038" i="3"/>
  <c r="K1037" i="3"/>
  <c r="K1036" i="3"/>
  <c r="K1035" i="3"/>
  <c r="K1034" i="3"/>
  <c r="J1033" i="3"/>
  <c r="K1033" i="3" s="1"/>
  <c r="J1032" i="3"/>
  <c r="K1032" i="3" s="1"/>
  <c r="K1031" i="3"/>
  <c r="J1031" i="3"/>
  <c r="J1030" i="3"/>
  <c r="K1029" i="3"/>
  <c r="K1028" i="3"/>
  <c r="J1028" i="3"/>
  <c r="K1027" i="3"/>
  <c r="J1027" i="3"/>
  <c r="K1026" i="3"/>
  <c r="J1024" i="3"/>
  <c r="I1024" i="3"/>
  <c r="K1023" i="3"/>
  <c r="K1022" i="3"/>
  <c r="K1021" i="3"/>
  <c r="K1020" i="3"/>
  <c r="K1019" i="3"/>
  <c r="K1024" i="3" s="1"/>
  <c r="I1017" i="3"/>
  <c r="K1016" i="3"/>
  <c r="J1016" i="3"/>
  <c r="K1015" i="3"/>
  <c r="J1015" i="3"/>
  <c r="K1014" i="3"/>
  <c r="J1014" i="3"/>
  <c r="J1013" i="3"/>
  <c r="K1013" i="3" s="1"/>
  <c r="K1012" i="3"/>
  <c r="J1012" i="3"/>
  <c r="K1011" i="3"/>
  <c r="K1010" i="3"/>
  <c r="J1010" i="3"/>
  <c r="K1009" i="3"/>
  <c r="K1008" i="3"/>
  <c r="K1007" i="3"/>
  <c r="K1006" i="3"/>
  <c r="J1006" i="3"/>
  <c r="K1005" i="3"/>
  <c r="K1004" i="3"/>
  <c r="K1003" i="3"/>
  <c r="J1003" i="3"/>
  <c r="J1002" i="3"/>
  <c r="K1002" i="3" s="1"/>
  <c r="K1001" i="3"/>
  <c r="J1001" i="3"/>
  <c r="K1000" i="3"/>
  <c r="K999" i="3"/>
  <c r="J999" i="3"/>
  <c r="J998" i="3"/>
  <c r="K998" i="3" s="1"/>
  <c r="J997" i="3"/>
  <c r="K997" i="3" s="1"/>
  <c r="K996" i="3"/>
  <c r="J996" i="3"/>
  <c r="J995" i="3"/>
  <c r="K995" i="3" s="1"/>
  <c r="J994" i="3"/>
  <c r="K994" i="3" s="1"/>
  <c r="J993" i="3"/>
  <c r="K993" i="3" s="1"/>
  <c r="H993" i="3"/>
  <c r="J992" i="3"/>
  <c r="K992" i="3" s="1"/>
  <c r="K991" i="3"/>
  <c r="J991" i="3"/>
  <c r="J990" i="3"/>
  <c r="K990" i="3" s="1"/>
  <c r="K989" i="3"/>
  <c r="J989" i="3"/>
  <c r="J988" i="3"/>
  <c r="K988" i="3" s="1"/>
  <c r="K987" i="3"/>
  <c r="J987" i="3"/>
  <c r="J986" i="3"/>
  <c r="K986" i="3" s="1"/>
  <c r="K985" i="3"/>
  <c r="J985" i="3"/>
  <c r="J984" i="3"/>
  <c r="K984" i="3" s="1"/>
  <c r="K983" i="3"/>
  <c r="J982" i="3"/>
  <c r="K982" i="3" s="1"/>
  <c r="J981" i="3"/>
  <c r="K981" i="3" s="1"/>
  <c r="K980" i="3"/>
  <c r="J980" i="3"/>
  <c r="K979" i="3"/>
  <c r="K978" i="3"/>
  <c r="J978" i="3"/>
  <c r="J977" i="3"/>
  <c r="K977" i="3" s="1"/>
  <c r="K976" i="3"/>
  <c r="J976" i="3"/>
  <c r="J975" i="3"/>
  <c r="K975" i="3" s="1"/>
  <c r="K974" i="3"/>
  <c r="J974" i="3"/>
  <c r="J973" i="3"/>
  <c r="K973" i="3" s="1"/>
  <c r="K972" i="3"/>
  <c r="J972" i="3"/>
  <c r="K971" i="3"/>
  <c r="J971" i="3"/>
  <c r="K970" i="3"/>
  <c r="J970" i="3"/>
  <c r="H970" i="3"/>
  <c r="J969" i="3"/>
  <c r="K969" i="3" s="1"/>
  <c r="J968" i="3"/>
  <c r="K968" i="3" s="1"/>
  <c r="K967" i="3"/>
  <c r="J967" i="3"/>
  <c r="J966" i="3"/>
  <c r="K966" i="3" s="1"/>
  <c r="J965" i="3"/>
  <c r="K965" i="3" s="1"/>
  <c r="K964" i="3"/>
  <c r="J964" i="3"/>
  <c r="J963" i="3"/>
  <c r="K963" i="3" s="1"/>
  <c r="J962" i="3"/>
  <c r="K962" i="3" s="1"/>
  <c r="J961" i="3"/>
  <c r="K961" i="3" s="1"/>
  <c r="J960" i="3"/>
  <c r="K960" i="3" s="1"/>
  <c r="K959" i="3"/>
  <c r="J959" i="3"/>
  <c r="J958" i="3"/>
  <c r="K958" i="3" s="1"/>
  <c r="K957" i="3"/>
  <c r="J957" i="3"/>
  <c r="K956" i="3"/>
  <c r="J956" i="3"/>
  <c r="J955" i="3"/>
  <c r="K955" i="3" s="1"/>
  <c r="J954" i="3"/>
  <c r="K954" i="3" s="1"/>
  <c r="J953" i="3"/>
  <c r="K953" i="3" s="1"/>
  <c r="J952" i="3"/>
  <c r="K952" i="3" s="1"/>
  <c r="K951" i="3"/>
  <c r="J951" i="3"/>
  <c r="J950" i="3"/>
  <c r="K950" i="3" s="1"/>
  <c r="J949" i="3"/>
  <c r="K949" i="3" s="1"/>
  <c r="K948" i="3"/>
  <c r="J948" i="3"/>
  <c r="J947" i="3"/>
  <c r="K947" i="3" s="1"/>
  <c r="J946" i="3"/>
  <c r="K946" i="3" s="1"/>
  <c r="K945" i="3"/>
  <c r="K944" i="3"/>
  <c r="J944" i="3"/>
  <c r="J943" i="3"/>
  <c r="K943" i="3" s="1"/>
  <c r="K942" i="3"/>
  <c r="J942" i="3"/>
  <c r="J941" i="3"/>
  <c r="K941" i="3" s="1"/>
  <c r="K940" i="3"/>
  <c r="J940" i="3"/>
  <c r="J939" i="3"/>
  <c r="K939" i="3" s="1"/>
  <c r="K938" i="3"/>
  <c r="J938" i="3"/>
  <c r="J937" i="3"/>
  <c r="K937" i="3" s="1"/>
  <c r="K936" i="3"/>
  <c r="J936" i="3"/>
  <c r="J935" i="3"/>
  <c r="K935" i="3" s="1"/>
  <c r="K934" i="3"/>
  <c r="J934" i="3"/>
  <c r="J933" i="3"/>
  <c r="K933" i="3" s="1"/>
  <c r="K932" i="3"/>
  <c r="J932" i="3"/>
  <c r="J931" i="3"/>
  <c r="K931" i="3" s="1"/>
  <c r="K930" i="3"/>
  <c r="J930" i="3"/>
  <c r="J929" i="3"/>
  <c r="K929" i="3" s="1"/>
  <c r="K928" i="3"/>
  <c r="J928" i="3"/>
  <c r="K927" i="3"/>
  <c r="K926" i="3"/>
  <c r="K925" i="3"/>
  <c r="J924" i="3"/>
  <c r="K924" i="3" s="1"/>
  <c r="K923" i="3"/>
  <c r="J923" i="3"/>
  <c r="K922" i="3"/>
  <c r="J922" i="3"/>
  <c r="J921" i="3"/>
  <c r="K921" i="3" s="1"/>
  <c r="J920" i="3"/>
  <c r="K920" i="3" s="1"/>
  <c r="J919" i="3"/>
  <c r="K919" i="3" s="1"/>
  <c r="J918" i="3"/>
  <c r="K918" i="3" s="1"/>
  <c r="K917" i="3"/>
  <c r="J917" i="3"/>
  <c r="J916" i="3"/>
  <c r="K916" i="3" s="1"/>
  <c r="J915" i="3"/>
  <c r="K915" i="3" s="1"/>
  <c r="K914" i="3"/>
  <c r="J914" i="3"/>
  <c r="J913" i="3"/>
  <c r="K913" i="3" s="1"/>
  <c r="J912" i="3"/>
  <c r="K912" i="3" s="1"/>
  <c r="K911" i="3"/>
  <c r="K910" i="3"/>
  <c r="J909" i="3"/>
  <c r="K909" i="3" s="1"/>
  <c r="K908" i="3"/>
  <c r="J908" i="3"/>
  <c r="J907" i="3"/>
  <c r="K907" i="3" s="1"/>
  <c r="K906" i="3"/>
  <c r="K905" i="3"/>
  <c r="J905" i="3"/>
  <c r="J904" i="3"/>
  <c r="K904" i="3" s="1"/>
  <c r="K903" i="3"/>
  <c r="J903" i="3"/>
  <c r="J902" i="3"/>
  <c r="K902" i="3" s="1"/>
  <c r="K901" i="3"/>
  <c r="J901" i="3"/>
  <c r="J900" i="3"/>
  <c r="K900" i="3" s="1"/>
  <c r="K899" i="3"/>
  <c r="J899" i="3"/>
  <c r="J898" i="3"/>
  <c r="K898" i="3" s="1"/>
  <c r="K897" i="3"/>
  <c r="J897" i="3"/>
  <c r="J896" i="3"/>
  <c r="K896" i="3" s="1"/>
  <c r="K895" i="3"/>
  <c r="J895" i="3"/>
  <c r="J894" i="3"/>
  <c r="K894" i="3" s="1"/>
  <c r="K893" i="3"/>
  <c r="J893" i="3"/>
  <c r="J892" i="3"/>
  <c r="K892" i="3" s="1"/>
  <c r="K891" i="3"/>
  <c r="J891" i="3"/>
  <c r="J890" i="3"/>
  <c r="K890" i="3" s="1"/>
  <c r="K889" i="3"/>
  <c r="J889" i="3"/>
  <c r="J888" i="3"/>
  <c r="K888" i="3" s="1"/>
  <c r="K887" i="3"/>
  <c r="J887" i="3"/>
  <c r="J886" i="3"/>
  <c r="K886" i="3" s="1"/>
  <c r="K885" i="3"/>
  <c r="J885" i="3"/>
  <c r="J884" i="3"/>
  <c r="K884" i="3" s="1"/>
  <c r="K883" i="3"/>
  <c r="J882" i="3"/>
  <c r="K882" i="3" s="1"/>
  <c r="J881" i="3"/>
  <c r="K881" i="3" s="1"/>
  <c r="K880" i="3"/>
  <c r="J880" i="3"/>
  <c r="J879" i="3"/>
  <c r="K879" i="3" s="1"/>
  <c r="J878" i="3"/>
  <c r="K878" i="3" s="1"/>
  <c r="K877" i="3"/>
  <c r="K876" i="3"/>
  <c r="K875" i="3"/>
  <c r="K874" i="3"/>
  <c r="K873" i="3"/>
  <c r="K872" i="3"/>
  <c r="J872" i="3"/>
  <c r="J871" i="3"/>
  <c r="K871" i="3" s="1"/>
  <c r="K870" i="3"/>
  <c r="K869" i="3"/>
  <c r="J868" i="3"/>
  <c r="K868" i="3" s="1"/>
  <c r="K867" i="3"/>
  <c r="K866" i="3"/>
  <c r="J865" i="3"/>
  <c r="K865" i="3" s="1"/>
  <c r="K864" i="3"/>
  <c r="J864" i="3"/>
  <c r="I864" i="3"/>
  <c r="K863" i="3"/>
  <c r="J863" i="3"/>
  <c r="J862" i="3"/>
  <c r="K862" i="3" s="1"/>
  <c r="J861" i="3"/>
  <c r="K861" i="3" s="1"/>
  <c r="G861" i="3"/>
  <c r="J860" i="3"/>
  <c r="K860" i="3" s="1"/>
  <c r="K859" i="3"/>
  <c r="J859" i="3"/>
  <c r="K858" i="3"/>
  <c r="J857" i="3"/>
  <c r="K857" i="3" s="1"/>
  <c r="K856" i="3"/>
  <c r="J855" i="3"/>
  <c r="K855" i="3" s="1"/>
  <c r="K854" i="3"/>
  <c r="J853" i="3"/>
  <c r="K853" i="3" s="1"/>
  <c r="K852" i="3"/>
  <c r="K851" i="3"/>
  <c r="J851" i="3"/>
  <c r="J850" i="3"/>
  <c r="K850" i="3" s="1"/>
  <c r="K849" i="3"/>
  <c r="J849" i="3"/>
  <c r="J848" i="3"/>
  <c r="K848" i="3" s="1"/>
  <c r="K847" i="3"/>
  <c r="J847" i="3"/>
  <c r="K846" i="3"/>
  <c r="K845" i="3"/>
  <c r="J845" i="3"/>
  <c r="K844" i="3"/>
  <c r="J843" i="3"/>
  <c r="K843" i="3" s="1"/>
  <c r="K842" i="3"/>
  <c r="J842" i="3"/>
  <c r="J841" i="3"/>
  <c r="K841" i="3" s="1"/>
  <c r="K840" i="3"/>
  <c r="J840" i="3"/>
  <c r="J839" i="3"/>
  <c r="K839" i="3" s="1"/>
  <c r="K838" i="3"/>
  <c r="J838" i="3"/>
  <c r="J837" i="3"/>
  <c r="K837" i="3" s="1"/>
  <c r="K836" i="3"/>
  <c r="J836" i="3"/>
  <c r="J835" i="3"/>
  <c r="K835" i="3" s="1"/>
  <c r="K834" i="3"/>
  <c r="J834" i="3"/>
  <c r="J833" i="3"/>
  <c r="K833" i="3" s="1"/>
  <c r="K832" i="3"/>
  <c r="J832" i="3"/>
  <c r="J831" i="3"/>
  <c r="K831" i="3" s="1"/>
  <c r="K830" i="3"/>
  <c r="J830" i="3"/>
  <c r="J829" i="3"/>
  <c r="K829" i="3" s="1"/>
  <c r="K828" i="3"/>
  <c r="J828" i="3"/>
  <c r="J827" i="3"/>
  <c r="K827" i="3" s="1"/>
  <c r="K826" i="3"/>
  <c r="J826" i="3"/>
  <c r="J825" i="3"/>
  <c r="K825" i="3" s="1"/>
  <c r="K824" i="3"/>
  <c r="J824" i="3"/>
  <c r="J823" i="3"/>
  <c r="K823" i="3" s="1"/>
  <c r="K822" i="3"/>
  <c r="J822" i="3"/>
  <c r="J821" i="3"/>
  <c r="K821" i="3" s="1"/>
  <c r="K820" i="3"/>
  <c r="J820" i="3"/>
  <c r="J819" i="3"/>
  <c r="K819" i="3" s="1"/>
  <c r="K818" i="3"/>
  <c r="J818" i="3"/>
  <c r="J817" i="3"/>
  <c r="K817" i="3" s="1"/>
  <c r="K816" i="3"/>
  <c r="J816" i="3"/>
  <c r="J815" i="3"/>
  <c r="K815" i="3" s="1"/>
  <c r="K814" i="3"/>
  <c r="J814" i="3"/>
  <c r="J813" i="3"/>
  <c r="K813" i="3" s="1"/>
  <c r="K812" i="3"/>
  <c r="J812" i="3"/>
  <c r="J811" i="3"/>
  <c r="K811" i="3" s="1"/>
  <c r="K810" i="3"/>
  <c r="J810" i="3"/>
  <c r="J809" i="3"/>
  <c r="K809" i="3" s="1"/>
  <c r="K808" i="3"/>
  <c r="J807" i="3"/>
  <c r="K807" i="3" s="1"/>
  <c r="K806" i="3"/>
  <c r="K805" i="3"/>
  <c r="K804" i="3"/>
  <c r="K803" i="3"/>
  <c r="K802" i="3"/>
  <c r="J802" i="3"/>
  <c r="K801" i="3"/>
  <c r="K800" i="3"/>
  <c r="K799" i="3"/>
  <c r="K798" i="3"/>
  <c r="J798" i="3"/>
  <c r="J797" i="3"/>
  <c r="K797" i="3" s="1"/>
  <c r="H797" i="3"/>
  <c r="J796" i="3"/>
  <c r="K796" i="3" s="1"/>
  <c r="J795" i="3"/>
  <c r="K795" i="3" s="1"/>
  <c r="J794" i="3"/>
  <c r="K794" i="3" s="1"/>
  <c r="K793" i="3"/>
  <c r="J793" i="3"/>
  <c r="J792" i="3"/>
  <c r="K792" i="3" s="1"/>
  <c r="K791" i="3"/>
  <c r="J791" i="3"/>
  <c r="K790" i="3"/>
  <c r="J790" i="3"/>
  <c r="J789" i="3"/>
  <c r="K789" i="3" s="1"/>
  <c r="K788" i="3"/>
  <c r="K787" i="3"/>
  <c r="K786" i="3"/>
  <c r="K785" i="3"/>
  <c r="J784" i="3"/>
  <c r="K784" i="3" s="1"/>
  <c r="K783" i="3"/>
  <c r="J783" i="3"/>
  <c r="J782" i="3"/>
  <c r="K782" i="3" s="1"/>
  <c r="J781" i="3"/>
  <c r="K781" i="3" s="1"/>
  <c r="K780" i="3"/>
  <c r="J780" i="3"/>
  <c r="J779" i="3"/>
  <c r="K779" i="3" s="1"/>
  <c r="J778" i="3"/>
  <c r="K778" i="3" s="1"/>
  <c r="J777" i="3"/>
  <c r="K777" i="3" s="1"/>
  <c r="J776" i="3"/>
  <c r="K776" i="3" s="1"/>
  <c r="K775" i="3"/>
  <c r="J775" i="3"/>
  <c r="J774" i="3"/>
  <c r="K774" i="3" s="1"/>
  <c r="K773" i="3"/>
  <c r="J773" i="3"/>
  <c r="K772" i="3"/>
  <c r="J772" i="3"/>
  <c r="J771" i="3"/>
  <c r="K771" i="3" s="1"/>
  <c r="J770" i="3"/>
  <c r="K770" i="3" s="1"/>
  <c r="J769" i="3"/>
  <c r="K769" i="3" s="1"/>
  <c r="J768" i="3"/>
  <c r="K768" i="3" s="1"/>
  <c r="K767" i="3"/>
  <c r="J767" i="3"/>
  <c r="H766" i="3"/>
  <c r="J766" i="3" s="1"/>
  <c r="K766" i="3" s="1"/>
  <c r="K765" i="3"/>
  <c r="J765" i="3"/>
  <c r="J764" i="3"/>
  <c r="K764" i="3" s="1"/>
  <c r="K763" i="3"/>
  <c r="J763" i="3"/>
  <c r="J762" i="3"/>
  <c r="K762" i="3" s="1"/>
  <c r="K761" i="3"/>
  <c r="J760" i="3"/>
  <c r="K760" i="3" s="1"/>
  <c r="K759" i="3"/>
  <c r="G759" i="3"/>
  <c r="J758" i="3"/>
  <c r="K758" i="3" s="1"/>
  <c r="J757" i="3"/>
  <c r="K757" i="3" s="1"/>
  <c r="K756" i="3"/>
  <c r="J756" i="3"/>
  <c r="K755" i="3"/>
  <c r="K754" i="3"/>
  <c r="J753" i="3"/>
  <c r="K753" i="3" s="1"/>
  <c r="J752" i="3"/>
  <c r="K752" i="3" s="1"/>
  <c r="J751" i="3"/>
  <c r="K751" i="3" s="1"/>
  <c r="K750" i="3"/>
  <c r="J750" i="3"/>
  <c r="J749" i="3"/>
  <c r="K749" i="3" s="1"/>
  <c r="J748" i="3"/>
  <c r="K748" i="3" s="1"/>
  <c r="K747" i="3"/>
  <c r="J747" i="3"/>
  <c r="J746" i="3"/>
  <c r="K746" i="3" s="1"/>
  <c r="G746" i="3"/>
  <c r="J745" i="3"/>
  <c r="K745" i="3" s="1"/>
  <c r="K744" i="3"/>
  <c r="J744" i="3"/>
  <c r="J743" i="3"/>
  <c r="K743" i="3" s="1"/>
  <c r="K742" i="3"/>
  <c r="J742" i="3"/>
  <c r="J741" i="3"/>
  <c r="K741" i="3" s="1"/>
  <c r="K740" i="3"/>
  <c r="J740" i="3"/>
  <c r="K739" i="3"/>
  <c r="K738" i="3"/>
  <c r="K737" i="3"/>
  <c r="J736" i="3"/>
  <c r="K736" i="3" s="1"/>
  <c r="J735" i="3"/>
  <c r="K735" i="3" s="1"/>
  <c r="J734" i="3"/>
  <c r="K734" i="3" s="1"/>
  <c r="K733" i="3"/>
  <c r="K732" i="3"/>
  <c r="J732" i="3"/>
  <c r="J731" i="3"/>
  <c r="K731" i="3" s="1"/>
  <c r="K730" i="3"/>
  <c r="J730" i="3"/>
  <c r="J729" i="3"/>
  <c r="K729" i="3" s="1"/>
  <c r="K728" i="3"/>
  <c r="J728" i="3"/>
  <c r="K727" i="3"/>
  <c r="J726" i="3"/>
  <c r="K726" i="3" s="1"/>
  <c r="J725" i="3"/>
  <c r="K725" i="3" s="1"/>
  <c r="K724" i="3"/>
  <c r="J724" i="3"/>
  <c r="K723" i="3"/>
  <c r="J722" i="3"/>
  <c r="K722" i="3" s="1"/>
  <c r="H722" i="3"/>
  <c r="H721" i="3"/>
  <c r="J721" i="3" s="1"/>
  <c r="K721" i="3" s="1"/>
  <c r="H720" i="3"/>
  <c r="J720" i="3" s="1"/>
  <c r="K720" i="3" s="1"/>
  <c r="K719" i="3"/>
  <c r="K718" i="3"/>
  <c r="J717" i="3"/>
  <c r="I717" i="3"/>
  <c r="K716" i="3"/>
  <c r="J715" i="3"/>
  <c r="K715" i="3" s="1"/>
  <c r="K714" i="3"/>
  <c r="J714" i="3"/>
  <c r="K713" i="3"/>
  <c r="J712" i="3"/>
  <c r="K712" i="3" s="1"/>
  <c r="K711" i="3"/>
  <c r="J710" i="3"/>
  <c r="K710" i="3" s="1"/>
  <c r="K709" i="3"/>
  <c r="K708" i="3"/>
  <c r="J708" i="3"/>
  <c r="K707" i="3"/>
  <c r="K706" i="3"/>
  <c r="G706" i="3"/>
  <c r="K705" i="3"/>
  <c r="G705" i="3"/>
  <c r="K704" i="3"/>
  <c r="K703" i="3"/>
  <c r="K702" i="3"/>
  <c r="J701" i="3"/>
  <c r="K701" i="3" s="1"/>
  <c r="K700" i="3"/>
  <c r="K699" i="3"/>
  <c r="K698" i="3"/>
  <c r="K697" i="3"/>
  <c r="K696" i="3"/>
  <c r="K695" i="3"/>
  <c r="K694" i="3"/>
  <c r="K693" i="3"/>
  <c r="K692" i="3"/>
  <c r="J692" i="3"/>
  <c r="K691" i="3"/>
  <c r="K690" i="3"/>
  <c r="K689" i="3"/>
  <c r="K688" i="3"/>
  <c r="K687" i="3"/>
  <c r="K686" i="3"/>
  <c r="K685" i="3"/>
  <c r="J685" i="3"/>
  <c r="K684" i="3"/>
  <c r="J683" i="3"/>
  <c r="K683" i="3" s="1"/>
  <c r="K682" i="3"/>
  <c r="K681" i="3"/>
  <c r="K680" i="3"/>
  <c r="K679" i="3"/>
  <c r="J679" i="3"/>
  <c r="J678" i="3"/>
  <c r="K678" i="3" s="1"/>
  <c r="K677" i="3"/>
  <c r="J677" i="3"/>
  <c r="J676" i="3"/>
  <c r="K676" i="3" s="1"/>
  <c r="K675" i="3"/>
  <c r="I675" i="3"/>
  <c r="G675" i="3"/>
  <c r="J674" i="3"/>
  <c r="K674" i="3" s="1"/>
  <c r="K673" i="3"/>
  <c r="G673" i="3"/>
  <c r="K672" i="3"/>
  <c r="K671" i="3"/>
  <c r="K670" i="3"/>
  <c r="G670" i="3"/>
  <c r="J669" i="3"/>
  <c r="K669" i="3" s="1"/>
  <c r="H669" i="3"/>
  <c r="J668" i="3"/>
  <c r="K668" i="3" s="1"/>
  <c r="K667" i="3"/>
  <c r="G667" i="3"/>
  <c r="J666" i="3"/>
  <c r="K666" i="3" s="1"/>
  <c r="K665" i="3"/>
  <c r="G665" i="3"/>
  <c r="J664" i="3"/>
  <c r="K664" i="3" s="1"/>
  <c r="K663" i="3"/>
  <c r="J663" i="3"/>
  <c r="J662" i="3"/>
  <c r="K662" i="3" s="1"/>
  <c r="K661" i="3"/>
  <c r="J661" i="3"/>
  <c r="K660" i="3"/>
  <c r="K659" i="3"/>
  <c r="K658" i="3"/>
  <c r="K657" i="3"/>
  <c r="K656" i="3"/>
  <c r="K655" i="3"/>
  <c r="K654" i="3"/>
  <c r="K653" i="3"/>
  <c r="J652" i="3"/>
  <c r="K652" i="3" s="1"/>
  <c r="K651" i="3"/>
  <c r="J650" i="3"/>
  <c r="K650" i="3" s="1"/>
  <c r="K649" i="3"/>
  <c r="K648" i="3"/>
  <c r="K647" i="3"/>
  <c r="J647" i="3"/>
  <c r="G647" i="3"/>
  <c r="K646" i="3"/>
  <c r="J646" i="3"/>
  <c r="J645" i="3"/>
  <c r="K645" i="3" s="1"/>
  <c r="K644" i="3"/>
  <c r="J644" i="3"/>
  <c r="K643" i="3"/>
  <c r="K642" i="3"/>
  <c r="J642" i="3"/>
  <c r="J641" i="3"/>
  <c r="K641" i="3" s="1"/>
  <c r="J640" i="3"/>
  <c r="K640" i="3" s="1"/>
  <c r="K639" i="3"/>
  <c r="J639" i="3"/>
  <c r="J638" i="3"/>
  <c r="K638" i="3" s="1"/>
  <c r="J637" i="3"/>
  <c r="K637" i="3" s="1"/>
  <c r="K636" i="3"/>
  <c r="J636" i="3"/>
  <c r="J635" i="3"/>
  <c r="K635" i="3" s="1"/>
  <c r="K634" i="3"/>
  <c r="J634" i="3"/>
  <c r="H633" i="3"/>
  <c r="J633" i="3" s="1"/>
  <c r="K633" i="3" s="1"/>
  <c r="K632" i="3"/>
  <c r="J632" i="3"/>
  <c r="H632" i="3"/>
  <c r="H631" i="3"/>
  <c r="J631" i="3" s="1"/>
  <c r="K628" i="3"/>
  <c r="K627" i="3"/>
  <c r="J626" i="3"/>
  <c r="K626" i="3" s="1"/>
  <c r="K625" i="3"/>
  <c r="J625" i="3"/>
  <c r="J624" i="3"/>
  <c r="K624" i="3" s="1"/>
  <c r="K623" i="3"/>
  <c r="J623" i="3"/>
  <c r="K622" i="3"/>
  <c r="J622" i="3"/>
  <c r="J621" i="3"/>
  <c r="K621" i="3" s="1"/>
  <c r="J620" i="3"/>
  <c r="K620" i="3" s="1"/>
  <c r="K619" i="3"/>
  <c r="K618" i="3"/>
  <c r="K617" i="3"/>
  <c r="J616" i="3"/>
  <c r="K616" i="3" s="1"/>
  <c r="K615" i="3"/>
  <c r="J615" i="3"/>
  <c r="J614" i="3"/>
  <c r="K614" i="3" s="1"/>
  <c r="K613" i="3"/>
  <c r="J613" i="3"/>
  <c r="J612" i="3"/>
  <c r="K612" i="3" s="1"/>
  <c r="K611" i="3"/>
  <c r="J611" i="3"/>
  <c r="J610" i="3"/>
  <c r="K610" i="3" s="1"/>
  <c r="K609" i="3"/>
  <c r="J609" i="3"/>
  <c r="J608" i="3"/>
  <c r="K608" i="3" s="1"/>
  <c r="K607" i="3"/>
  <c r="J607" i="3"/>
  <c r="J606" i="3"/>
  <c r="K606" i="3" s="1"/>
  <c r="K605" i="3"/>
  <c r="J605" i="3"/>
  <c r="K604" i="3"/>
  <c r="K603" i="3"/>
  <c r="K602" i="3"/>
  <c r="J602" i="3"/>
  <c r="K601" i="3"/>
  <c r="K600" i="3"/>
  <c r="K599" i="3"/>
  <c r="J598" i="3"/>
  <c r="K598" i="3" s="1"/>
  <c r="K597" i="3"/>
  <c r="J597" i="3"/>
  <c r="J596" i="3"/>
  <c r="K596" i="3" s="1"/>
  <c r="J595" i="3"/>
  <c r="H595" i="3" s="1"/>
  <c r="J594" i="3"/>
  <c r="K594" i="3" s="1"/>
  <c r="K593" i="3"/>
  <c r="J593" i="3"/>
  <c r="J592" i="3"/>
  <c r="K592" i="3" s="1"/>
  <c r="K591" i="3"/>
  <c r="J591" i="3"/>
  <c r="J590" i="3"/>
  <c r="K590" i="3" s="1"/>
  <c r="K589" i="3"/>
  <c r="J589" i="3"/>
  <c r="J588" i="3"/>
  <c r="K588" i="3" s="1"/>
  <c r="K587" i="3"/>
  <c r="J587" i="3"/>
  <c r="J586" i="3"/>
  <c r="K586" i="3" s="1"/>
  <c r="K585" i="3"/>
  <c r="J585" i="3"/>
  <c r="K583" i="3"/>
  <c r="J582" i="3"/>
  <c r="J581" i="3"/>
  <c r="J579" i="3"/>
  <c r="J578" i="3"/>
  <c r="J577" i="3"/>
  <c r="J576" i="3"/>
  <c r="J574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83" i="3" s="1"/>
  <c r="J546" i="3"/>
  <c r="J545" i="3"/>
  <c r="J543" i="3"/>
  <c r="J542" i="3"/>
  <c r="J541" i="3"/>
  <c r="J540" i="3"/>
  <c r="J539" i="3"/>
  <c r="J538" i="3"/>
  <c r="J537" i="3"/>
  <c r="J536" i="3"/>
  <c r="I534" i="3"/>
  <c r="J533" i="3"/>
  <c r="K533" i="3" s="1"/>
  <c r="K532" i="3"/>
  <c r="J532" i="3"/>
  <c r="J531" i="3"/>
  <c r="K531" i="3" s="1"/>
  <c r="K530" i="3"/>
  <c r="J530" i="3"/>
  <c r="J529" i="3"/>
  <c r="K529" i="3" s="1"/>
  <c r="J528" i="3"/>
  <c r="K528" i="3" s="1"/>
  <c r="K527" i="3"/>
  <c r="J527" i="3"/>
  <c r="J526" i="3"/>
  <c r="K526" i="3" s="1"/>
  <c r="J525" i="3"/>
  <c r="K525" i="3" s="1"/>
  <c r="K524" i="3"/>
  <c r="J524" i="3"/>
  <c r="J523" i="3"/>
  <c r="K523" i="3" s="1"/>
  <c r="K522" i="3"/>
  <c r="J522" i="3"/>
  <c r="J521" i="3"/>
  <c r="K521" i="3" s="1"/>
  <c r="J520" i="3"/>
  <c r="K520" i="3" s="1"/>
  <c r="K519" i="3"/>
  <c r="J519" i="3"/>
  <c r="J518" i="3"/>
  <c r="K518" i="3" s="1"/>
  <c r="H518" i="3"/>
  <c r="J517" i="3"/>
  <c r="I515" i="3"/>
  <c r="K514" i="3"/>
  <c r="J514" i="3"/>
  <c r="J515" i="3" s="1"/>
  <c r="J513" i="3"/>
  <c r="K513" i="3" s="1"/>
  <c r="K515" i="3" s="1"/>
  <c r="K510" i="3"/>
  <c r="J509" i="3"/>
  <c r="K509" i="3" s="1"/>
  <c r="J508" i="3"/>
  <c r="K508" i="3" s="1"/>
  <c r="K507" i="3"/>
  <c r="J507" i="3"/>
  <c r="J506" i="3"/>
  <c r="I506" i="3"/>
  <c r="J505" i="3"/>
  <c r="I505" i="3"/>
  <c r="K505" i="3" s="1"/>
  <c r="K504" i="3"/>
  <c r="K503" i="3"/>
  <c r="J503" i="3"/>
  <c r="J502" i="3"/>
  <c r="K502" i="3" s="1"/>
  <c r="K501" i="3"/>
  <c r="J501" i="3"/>
  <c r="K500" i="3"/>
  <c r="K498" i="3"/>
  <c r="J498" i="3"/>
  <c r="I498" i="3" s="1"/>
  <c r="J497" i="3"/>
  <c r="K497" i="3" s="1"/>
  <c r="K496" i="3"/>
  <c r="J496" i="3"/>
  <c r="J495" i="3"/>
  <c r="K495" i="3" s="1"/>
  <c r="K494" i="3"/>
  <c r="J494" i="3"/>
  <c r="J493" i="3"/>
  <c r="K493" i="3" s="1"/>
  <c r="K492" i="3"/>
  <c r="J491" i="3"/>
  <c r="K491" i="3" s="1"/>
  <c r="K490" i="3"/>
  <c r="K489" i="3"/>
  <c r="K488" i="3"/>
  <c r="K487" i="3"/>
  <c r="K486" i="3"/>
  <c r="K485" i="3"/>
  <c r="J485" i="3"/>
  <c r="I484" i="3"/>
  <c r="K484" i="3" s="1"/>
  <c r="K483" i="3"/>
  <c r="K482" i="3"/>
  <c r="I482" i="3"/>
  <c r="J481" i="3"/>
  <c r="K481" i="3" s="1"/>
  <c r="J480" i="3"/>
  <c r="K480" i="3" s="1"/>
  <c r="J479" i="3"/>
  <c r="K479" i="3" s="1"/>
  <c r="J478" i="3"/>
  <c r="K478" i="3" s="1"/>
  <c r="K477" i="3"/>
  <c r="J477" i="3"/>
  <c r="K476" i="3"/>
  <c r="K475" i="3"/>
  <c r="J475" i="3"/>
  <c r="J511" i="3" s="1"/>
  <c r="K474" i="3"/>
  <c r="I474" i="3"/>
  <c r="K471" i="3"/>
  <c r="J471" i="3"/>
  <c r="J470" i="3"/>
  <c r="K470" i="3" s="1"/>
  <c r="K469" i="3"/>
  <c r="K468" i="3"/>
  <c r="K467" i="3"/>
  <c r="K466" i="3"/>
  <c r="K465" i="3"/>
  <c r="J465" i="3"/>
  <c r="K464" i="3"/>
  <c r="J464" i="3"/>
  <c r="K463" i="3"/>
  <c r="J463" i="3"/>
  <c r="J462" i="3"/>
  <c r="K462" i="3" s="1"/>
  <c r="K461" i="3"/>
  <c r="J461" i="3"/>
  <c r="J460" i="3"/>
  <c r="I458" i="3"/>
  <c r="J457" i="3"/>
  <c r="K457" i="3" s="1"/>
  <c r="J456" i="3"/>
  <c r="K456" i="3" s="1"/>
  <c r="J455" i="3"/>
  <c r="K455" i="3" s="1"/>
  <c r="K454" i="3"/>
  <c r="J453" i="3"/>
  <c r="K453" i="3" s="1"/>
  <c r="K452" i="3"/>
  <c r="J452" i="3"/>
  <c r="J451" i="3"/>
  <c r="K451" i="3" s="1"/>
  <c r="K450" i="3"/>
  <c r="J450" i="3"/>
  <c r="J449" i="3"/>
  <c r="K449" i="3" s="1"/>
  <c r="K448" i="3"/>
  <c r="J448" i="3"/>
  <c r="J447" i="3"/>
  <c r="K447" i="3" s="1"/>
  <c r="K446" i="3"/>
  <c r="K445" i="3"/>
  <c r="J445" i="3"/>
  <c r="K444" i="3"/>
  <c r="K443" i="3"/>
  <c r="J442" i="3"/>
  <c r="K442" i="3" s="1"/>
  <c r="J441" i="3"/>
  <c r="K441" i="3" s="1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J423" i="3"/>
  <c r="K422" i="3"/>
  <c r="K421" i="3"/>
  <c r="K420" i="3"/>
  <c r="J419" i="3"/>
  <c r="K419" i="3" s="1"/>
  <c r="K418" i="3"/>
  <c r="J417" i="3"/>
  <c r="K417" i="3" s="1"/>
  <c r="K416" i="3"/>
  <c r="J416" i="3"/>
  <c r="J415" i="3"/>
  <c r="K415" i="3" s="1"/>
  <c r="K414" i="3"/>
  <c r="J414" i="3"/>
  <c r="K413" i="3"/>
  <c r="J412" i="3"/>
  <c r="K412" i="3" s="1"/>
  <c r="J411" i="3"/>
  <c r="K411" i="3" s="1"/>
  <c r="K410" i="3"/>
  <c r="K409" i="3"/>
  <c r="J409" i="3"/>
  <c r="K408" i="3"/>
  <c r="K407" i="3"/>
  <c r="K406" i="3"/>
  <c r="J406" i="3"/>
  <c r="J405" i="3"/>
  <c r="K405" i="3" s="1"/>
  <c r="K404" i="3"/>
  <c r="J403" i="3"/>
  <c r="K403" i="3" s="1"/>
  <c r="K402" i="3"/>
  <c r="J402" i="3"/>
  <c r="J401" i="3"/>
  <c r="J400" i="3"/>
  <c r="J399" i="3"/>
  <c r="J398" i="3"/>
  <c r="J397" i="3"/>
  <c r="K396" i="3"/>
  <c r="J396" i="3"/>
  <c r="J395" i="3"/>
  <c r="K395" i="3" s="1"/>
  <c r="J394" i="3"/>
  <c r="K394" i="3" s="1"/>
  <c r="J393" i="3"/>
  <c r="K393" i="3" s="1"/>
  <c r="K392" i="3"/>
  <c r="J392" i="3"/>
  <c r="J391" i="3"/>
  <c r="J390" i="3"/>
  <c r="J389" i="3"/>
  <c r="K388" i="3"/>
  <c r="J388" i="3"/>
  <c r="K387" i="3"/>
  <c r="J387" i="3"/>
  <c r="K386" i="3"/>
  <c r="J386" i="3"/>
  <c r="J385" i="3"/>
  <c r="K384" i="3"/>
  <c r="K383" i="3"/>
  <c r="J383" i="3"/>
  <c r="J382" i="3"/>
  <c r="K382" i="3" s="1"/>
  <c r="K381" i="3"/>
  <c r="J381" i="3"/>
  <c r="J380" i="3"/>
  <c r="K380" i="3" s="1"/>
  <c r="K379" i="3"/>
  <c r="J378" i="3"/>
  <c r="K378" i="3" s="1"/>
  <c r="J377" i="3"/>
  <c r="K377" i="3" s="1"/>
  <c r="K376" i="3"/>
  <c r="K375" i="3"/>
  <c r="K374" i="3"/>
  <c r="K373" i="3"/>
  <c r="K372" i="3"/>
  <c r="K371" i="3"/>
  <c r="K370" i="3"/>
  <c r="K369" i="3"/>
  <c r="K368" i="3"/>
  <c r="K367" i="3"/>
  <c r="K366" i="3"/>
  <c r="K365" i="3"/>
  <c r="J365" i="3"/>
  <c r="K364" i="3"/>
  <c r="J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J352" i="3"/>
  <c r="J351" i="3"/>
  <c r="K351" i="3" s="1"/>
  <c r="K350" i="3"/>
  <c r="J350" i="3"/>
  <c r="J349" i="3"/>
  <c r="K349" i="3" s="1"/>
  <c r="J348" i="3"/>
  <c r="K348" i="3" s="1"/>
  <c r="K347" i="3"/>
  <c r="K346" i="3"/>
  <c r="K345" i="3"/>
  <c r="K344" i="3"/>
  <c r="J344" i="3"/>
  <c r="K343" i="3"/>
  <c r="J342" i="3"/>
  <c r="K342" i="3" s="1"/>
  <c r="K341" i="3"/>
  <c r="K340" i="3"/>
  <c r="J340" i="3"/>
  <c r="K339" i="3"/>
  <c r="J339" i="3"/>
  <c r="K338" i="3"/>
  <c r="J338" i="3"/>
  <c r="K337" i="3"/>
  <c r="K336" i="3"/>
  <c r="K335" i="3"/>
  <c r="K334" i="3"/>
  <c r="K333" i="3"/>
  <c r="J332" i="3"/>
  <c r="K332" i="3" s="1"/>
  <c r="J331" i="3"/>
  <c r="K331" i="3" s="1"/>
  <c r="J330" i="3"/>
  <c r="K330" i="3" s="1"/>
  <c r="K329" i="3"/>
  <c r="J329" i="3"/>
  <c r="J328" i="3"/>
  <c r="K328" i="3" s="1"/>
  <c r="K327" i="3"/>
  <c r="J327" i="3"/>
  <c r="K326" i="3"/>
  <c r="J326" i="3"/>
  <c r="J325" i="3"/>
  <c r="K325" i="3" s="1"/>
  <c r="J324" i="3"/>
  <c r="K324" i="3" s="1"/>
  <c r="K323" i="3"/>
  <c r="J323" i="3"/>
  <c r="K322" i="3"/>
  <c r="K321" i="3"/>
  <c r="K320" i="3"/>
  <c r="K319" i="3"/>
  <c r="K318" i="3"/>
  <c r="K317" i="3"/>
  <c r="J317" i="3"/>
  <c r="K316" i="3"/>
  <c r="K315" i="3"/>
  <c r="J315" i="3"/>
  <c r="K314" i="3"/>
  <c r="K313" i="3"/>
  <c r="K312" i="3"/>
  <c r="K311" i="3"/>
  <c r="K310" i="3"/>
  <c r="K309" i="3"/>
  <c r="J309" i="3"/>
  <c r="J308" i="3"/>
  <c r="K307" i="3"/>
  <c r="K306" i="3"/>
  <c r="K305" i="3"/>
  <c r="K304" i="3"/>
  <c r="J301" i="3"/>
  <c r="K301" i="3" s="1"/>
  <c r="K300" i="3"/>
  <c r="J300" i="3"/>
  <c r="J299" i="3"/>
  <c r="K299" i="3" s="1"/>
  <c r="K298" i="3"/>
  <c r="J298" i="3"/>
  <c r="K297" i="3"/>
  <c r="J297" i="3"/>
  <c r="K296" i="3"/>
  <c r="J296" i="3"/>
  <c r="J295" i="3"/>
  <c r="K295" i="3" s="1"/>
  <c r="K294" i="3"/>
  <c r="J294" i="3"/>
  <c r="K293" i="3"/>
  <c r="J293" i="3"/>
  <c r="K292" i="3"/>
  <c r="J292" i="3"/>
  <c r="J291" i="3"/>
  <c r="K291" i="3" s="1"/>
  <c r="K290" i="3"/>
  <c r="J290" i="3"/>
  <c r="K289" i="3"/>
  <c r="J289" i="3"/>
  <c r="K288" i="3"/>
  <c r="J288" i="3"/>
  <c r="J287" i="3"/>
  <c r="K287" i="3" s="1"/>
  <c r="K286" i="3"/>
  <c r="J286" i="3"/>
  <c r="K285" i="3"/>
  <c r="J285" i="3"/>
  <c r="K284" i="3"/>
  <c r="J284" i="3"/>
  <c r="J283" i="3"/>
  <c r="K283" i="3" s="1"/>
  <c r="K282" i="3"/>
  <c r="J282" i="3"/>
  <c r="J281" i="3"/>
  <c r="K281" i="3" s="1"/>
  <c r="K280" i="3"/>
  <c r="J280" i="3"/>
  <c r="J279" i="3"/>
  <c r="K279" i="3" s="1"/>
  <c r="K278" i="3"/>
  <c r="J278" i="3"/>
  <c r="K277" i="3"/>
  <c r="J277" i="3"/>
  <c r="K276" i="3"/>
  <c r="J276" i="3"/>
  <c r="J275" i="3"/>
  <c r="K275" i="3" s="1"/>
  <c r="H275" i="3"/>
  <c r="J274" i="3"/>
  <c r="K274" i="3" s="1"/>
  <c r="J273" i="3"/>
  <c r="K273" i="3" s="1"/>
  <c r="J272" i="3"/>
  <c r="K272" i="3" s="1"/>
  <c r="K271" i="3"/>
  <c r="J271" i="3"/>
  <c r="K270" i="3"/>
  <c r="J270" i="3"/>
  <c r="J269" i="3"/>
  <c r="K269" i="3" s="1"/>
  <c r="J268" i="3"/>
  <c r="K268" i="3" s="1"/>
  <c r="J267" i="3"/>
  <c r="K267" i="3" s="1"/>
  <c r="J266" i="3"/>
  <c r="K266" i="3" s="1"/>
  <c r="J265" i="3"/>
  <c r="K265" i="3" s="1"/>
  <c r="J264" i="3"/>
  <c r="K264" i="3" s="1"/>
  <c r="K263" i="3"/>
  <c r="J263" i="3"/>
  <c r="K262" i="3"/>
  <c r="J262" i="3"/>
  <c r="J261" i="3"/>
  <c r="K261" i="3" s="1"/>
  <c r="J260" i="3"/>
  <c r="K260" i="3" s="1"/>
  <c r="J259" i="3"/>
  <c r="K259" i="3" s="1"/>
  <c r="J258" i="3"/>
  <c r="K258" i="3" s="1"/>
  <c r="J257" i="3"/>
  <c r="K254" i="3"/>
  <c r="J254" i="3"/>
  <c r="K253" i="3"/>
  <c r="J253" i="3"/>
  <c r="J252" i="3"/>
  <c r="K252" i="3" s="1"/>
  <c r="J251" i="3"/>
  <c r="K251" i="3" s="1"/>
  <c r="J250" i="3"/>
  <c r="K250" i="3" s="1"/>
  <c r="J249" i="3"/>
  <c r="K249" i="3" s="1"/>
  <c r="J248" i="3"/>
  <c r="K248" i="3" s="1"/>
  <c r="J247" i="3"/>
  <c r="K247" i="3" s="1"/>
  <c r="J246" i="3"/>
  <c r="K246" i="3" s="1"/>
  <c r="K245" i="3"/>
  <c r="J245" i="3"/>
  <c r="J244" i="3"/>
  <c r="K244" i="3" s="1"/>
  <c r="J243" i="3"/>
  <c r="K243" i="3" s="1"/>
  <c r="K242" i="3"/>
  <c r="J242" i="3"/>
  <c r="J241" i="3"/>
  <c r="K241" i="3" s="1"/>
  <c r="J240" i="3"/>
  <c r="K240" i="3" s="1"/>
  <c r="J239" i="3"/>
  <c r="K239" i="3" s="1"/>
  <c r="K238" i="3"/>
  <c r="J238" i="3"/>
  <c r="K237" i="3"/>
  <c r="J237" i="3"/>
  <c r="J236" i="3"/>
  <c r="K236" i="3" s="1"/>
  <c r="J235" i="3"/>
  <c r="K235" i="3" s="1"/>
  <c r="J234" i="3"/>
  <c r="K234" i="3" s="1"/>
  <c r="J233" i="3"/>
  <c r="K233" i="3" s="1"/>
  <c r="J232" i="3"/>
  <c r="J255" i="3" s="1"/>
  <c r="K229" i="3"/>
  <c r="J229" i="3"/>
  <c r="K228" i="3"/>
  <c r="J228" i="3"/>
  <c r="K227" i="3"/>
  <c r="K226" i="3"/>
  <c r="J225" i="3"/>
  <c r="K225" i="3" s="1"/>
  <c r="J224" i="3"/>
  <c r="K224" i="3" s="1"/>
  <c r="J223" i="3"/>
  <c r="K223" i="3" s="1"/>
  <c r="J222" i="3"/>
  <c r="K222" i="3" s="1"/>
  <c r="J221" i="3"/>
  <c r="K221" i="3" s="1"/>
  <c r="J220" i="3"/>
  <c r="K220" i="3" s="1"/>
  <c r="K219" i="3"/>
  <c r="J219" i="3"/>
  <c r="J218" i="3"/>
  <c r="K218" i="3" s="1"/>
  <c r="J217" i="3"/>
  <c r="K217" i="3" s="1"/>
  <c r="K216" i="3"/>
  <c r="J216" i="3"/>
  <c r="J215" i="3"/>
  <c r="K215" i="3" s="1"/>
  <c r="J214" i="3"/>
  <c r="K214" i="3" s="1"/>
  <c r="J213" i="3"/>
  <c r="K213" i="3" s="1"/>
  <c r="J212" i="3"/>
  <c r="K212" i="3" s="1"/>
  <c r="K211" i="3"/>
  <c r="J211" i="3"/>
  <c r="J210" i="3"/>
  <c r="K210" i="3" s="1"/>
  <c r="J207" i="3"/>
  <c r="K207" i="3" s="1"/>
  <c r="K208" i="3" s="1"/>
  <c r="K204" i="3"/>
  <c r="J204" i="3"/>
  <c r="K203" i="3"/>
  <c r="J203" i="3"/>
  <c r="K202" i="3"/>
  <c r="J202" i="3"/>
  <c r="K201" i="3"/>
  <c r="J201" i="3"/>
  <c r="J200" i="3"/>
  <c r="K200" i="3" s="1"/>
  <c r="K199" i="3"/>
  <c r="J199" i="3"/>
  <c r="J198" i="3"/>
  <c r="K198" i="3" s="1"/>
  <c r="K197" i="3"/>
  <c r="J197" i="3"/>
  <c r="K196" i="3"/>
  <c r="J196" i="3"/>
  <c r="K195" i="3"/>
  <c r="J195" i="3"/>
  <c r="J194" i="3"/>
  <c r="K194" i="3" s="1"/>
  <c r="K193" i="3"/>
  <c r="J193" i="3"/>
  <c r="J192" i="3"/>
  <c r="K192" i="3" s="1"/>
  <c r="K191" i="3"/>
  <c r="J191" i="3"/>
  <c r="J190" i="3"/>
  <c r="K190" i="3" s="1"/>
  <c r="K189" i="3"/>
  <c r="J189" i="3"/>
  <c r="K188" i="3"/>
  <c r="J188" i="3"/>
  <c r="K187" i="3"/>
  <c r="J187" i="3"/>
  <c r="K186" i="3"/>
  <c r="J186" i="3"/>
  <c r="K185" i="3"/>
  <c r="J185" i="3"/>
  <c r="J184" i="3"/>
  <c r="K184" i="3" s="1"/>
  <c r="K183" i="3"/>
  <c r="J183" i="3"/>
  <c r="J182" i="3"/>
  <c r="K182" i="3" s="1"/>
  <c r="K181" i="3"/>
  <c r="J181" i="3"/>
  <c r="J180" i="3"/>
  <c r="K180" i="3" s="1"/>
  <c r="K179" i="3"/>
  <c r="J179" i="3"/>
  <c r="K178" i="3"/>
  <c r="J178" i="3"/>
  <c r="K177" i="3"/>
  <c r="J177" i="3"/>
  <c r="H176" i="3"/>
  <c r="J176" i="3" s="1"/>
  <c r="K176" i="3" s="1"/>
  <c r="H175" i="3"/>
  <c r="J175" i="3" s="1"/>
  <c r="K175" i="3" s="1"/>
  <c r="K174" i="3"/>
  <c r="K205" i="3" s="1"/>
  <c r="J174" i="3"/>
  <c r="I172" i="3"/>
  <c r="J171" i="3"/>
  <c r="K171" i="3" s="1"/>
  <c r="J170" i="3"/>
  <c r="K170" i="3" s="1"/>
  <c r="K169" i="3"/>
  <c r="I169" i="3"/>
  <c r="J168" i="3"/>
  <c r="K168" i="3" s="1"/>
  <c r="J167" i="3"/>
  <c r="K167" i="3" s="1"/>
  <c r="J166" i="3"/>
  <c r="K166" i="3" s="1"/>
  <c r="J165" i="3"/>
  <c r="K165" i="3" s="1"/>
  <c r="K164" i="3"/>
  <c r="J164" i="3"/>
  <c r="K163" i="3"/>
  <c r="J162" i="3"/>
  <c r="K162" i="3" s="1"/>
  <c r="K161" i="3"/>
  <c r="J161" i="3"/>
  <c r="H160" i="3"/>
  <c r="J160" i="3" s="1"/>
  <c r="K160" i="3" s="1"/>
  <c r="J159" i="3"/>
  <c r="K159" i="3" s="1"/>
  <c r="J158" i="3"/>
  <c r="K158" i="3" s="1"/>
  <c r="H158" i="3"/>
  <c r="K157" i="3"/>
  <c r="J157" i="3"/>
  <c r="J156" i="3"/>
  <c r="K156" i="3" s="1"/>
  <c r="K155" i="3"/>
  <c r="J155" i="3"/>
  <c r="K154" i="3"/>
  <c r="J154" i="3"/>
  <c r="J153" i="3"/>
  <c r="K153" i="3" s="1"/>
  <c r="K152" i="3"/>
  <c r="J152" i="3"/>
  <c r="J151" i="3"/>
  <c r="K151" i="3" s="1"/>
  <c r="K150" i="3"/>
  <c r="J150" i="3"/>
  <c r="K149" i="3"/>
  <c r="J149" i="3"/>
  <c r="K148" i="3"/>
  <c r="J148" i="3"/>
  <c r="J147" i="3"/>
  <c r="K147" i="3" s="1"/>
  <c r="H147" i="3"/>
  <c r="J144" i="3"/>
  <c r="K144" i="3" s="1"/>
  <c r="J143" i="3"/>
  <c r="K143" i="3" s="1"/>
  <c r="J142" i="3"/>
  <c r="K142" i="3" s="1"/>
  <c r="J141" i="3"/>
  <c r="K141" i="3" s="1"/>
  <c r="J140" i="3"/>
  <c r="K140" i="3" s="1"/>
  <c r="K139" i="3"/>
  <c r="J139" i="3"/>
  <c r="K138" i="3"/>
  <c r="J138" i="3"/>
  <c r="K137" i="3"/>
  <c r="J137" i="3"/>
  <c r="J136" i="3"/>
  <c r="K136" i="3" s="1"/>
  <c r="J135" i="3"/>
  <c r="K135" i="3" s="1"/>
  <c r="K134" i="3"/>
  <c r="J134" i="3"/>
  <c r="J133" i="3"/>
  <c r="J132" i="3"/>
  <c r="K132" i="3" s="1"/>
  <c r="J131" i="3"/>
  <c r="K131" i="3" s="1"/>
  <c r="J130" i="3"/>
  <c r="K130" i="3" s="1"/>
  <c r="K129" i="3"/>
  <c r="J129" i="3"/>
  <c r="J128" i="3"/>
  <c r="K128" i="3" s="1"/>
  <c r="J127" i="3"/>
  <c r="K127" i="3" s="1"/>
  <c r="K126" i="3"/>
  <c r="K125" i="3"/>
  <c r="J125" i="3"/>
  <c r="J145" i="3" s="1"/>
  <c r="I123" i="3"/>
  <c r="J122" i="3"/>
  <c r="K122" i="3" s="1"/>
  <c r="J121" i="3"/>
  <c r="K121" i="3" s="1"/>
  <c r="K120" i="3"/>
  <c r="J119" i="3"/>
  <c r="K119" i="3" s="1"/>
  <c r="K118" i="3"/>
  <c r="J118" i="3"/>
  <c r="J117" i="3"/>
  <c r="K117" i="3" s="1"/>
  <c r="K116" i="3"/>
  <c r="J116" i="3"/>
  <c r="J115" i="3"/>
  <c r="K115" i="3" s="1"/>
  <c r="K114" i="3"/>
  <c r="J114" i="3"/>
  <c r="J113" i="3"/>
  <c r="K113" i="3" s="1"/>
  <c r="K112" i="3"/>
  <c r="J112" i="3"/>
  <c r="K111" i="3"/>
  <c r="J110" i="3"/>
  <c r="K110" i="3" s="1"/>
  <c r="J109" i="3"/>
  <c r="K109" i="3" s="1"/>
  <c r="J108" i="3"/>
  <c r="K108" i="3" s="1"/>
  <c r="J107" i="3"/>
  <c r="K107" i="3" s="1"/>
  <c r="J106" i="3"/>
  <c r="J105" i="3"/>
  <c r="K105" i="3" s="1"/>
  <c r="K104" i="3"/>
  <c r="J104" i="3"/>
  <c r="K103" i="3"/>
  <c r="J103" i="3"/>
  <c r="J102" i="3"/>
  <c r="K102" i="3" s="1"/>
  <c r="K101" i="3"/>
  <c r="J101" i="3"/>
  <c r="J100" i="3"/>
  <c r="K100" i="3" s="1"/>
  <c r="K99" i="3"/>
  <c r="J99" i="3"/>
  <c r="J98" i="3"/>
  <c r="K98" i="3" s="1"/>
  <c r="K97" i="3"/>
  <c r="K96" i="3"/>
  <c r="J96" i="3"/>
  <c r="J123" i="3" s="1"/>
  <c r="K94" i="3"/>
  <c r="J94" i="3"/>
  <c r="K93" i="3"/>
  <c r="J93" i="3"/>
  <c r="J92" i="3"/>
  <c r="K92" i="3" s="1"/>
  <c r="J91" i="3"/>
  <c r="K91" i="3" s="1"/>
  <c r="J90" i="3"/>
  <c r="K90" i="3" s="1"/>
  <c r="J89" i="3"/>
  <c r="K89" i="3" s="1"/>
  <c r="J88" i="3"/>
  <c r="K88" i="3" s="1"/>
  <c r="J87" i="3"/>
  <c r="K87" i="3" s="1"/>
  <c r="J86" i="3"/>
  <c r="K86" i="3" s="1"/>
  <c r="K85" i="3"/>
  <c r="J85" i="3"/>
  <c r="J84" i="3"/>
  <c r="K84" i="3" s="1"/>
  <c r="J83" i="3"/>
  <c r="K83" i="3" s="1"/>
  <c r="J82" i="3"/>
  <c r="K82" i="3" s="1"/>
  <c r="J81" i="3"/>
  <c r="K81" i="3" s="1"/>
  <c r="J80" i="3"/>
  <c r="K80" i="3" s="1"/>
  <c r="J79" i="3"/>
  <c r="K79" i="3" s="1"/>
  <c r="K78" i="3"/>
  <c r="J78" i="3"/>
  <c r="K77" i="3"/>
  <c r="J77" i="3"/>
  <c r="J76" i="3"/>
  <c r="K76" i="3" s="1"/>
  <c r="J75" i="3"/>
  <c r="K75" i="3" s="1"/>
  <c r="J74" i="3"/>
  <c r="K74" i="3" s="1"/>
  <c r="K73" i="3"/>
  <c r="K72" i="3"/>
  <c r="K71" i="3"/>
  <c r="K70" i="3"/>
  <c r="K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K56" i="3" s="1"/>
  <c r="J55" i="3"/>
  <c r="J54" i="3"/>
  <c r="K401" i="3" s="1"/>
  <c r="J53" i="3"/>
  <c r="K400" i="3" s="1"/>
  <c r="J52" i="3"/>
  <c r="K399" i="3" s="1"/>
  <c r="J51" i="3"/>
  <c r="K398" i="3" s="1"/>
  <c r="J50" i="3"/>
  <c r="K47" i="3"/>
  <c r="K46" i="3"/>
  <c r="K48" i="3" s="1"/>
  <c r="K45" i="3"/>
  <c r="J45" i="3"/>
  <c r="J44" i="3"/>
  <c r="K391" i="3" s="1"/>
  <c r="J43" i="3"/>
  <c r="K390" i="3" s="1"/>
  <c r="K42" i="3"/>
  <c r="J42" i="3"/>
  <c r="K389" i="3" s="1"/>
  <c r="K41" i="3"/>
  <c r="J41" i="3"/>
  <c r="J40" i="3"/>
  <c r="K40" i="3" s="1"/>
  <c r="K39" i="3"/>
  <c r="J39" i="3"/>
  <c r="J38" i="3"/>
  <c r="K37" i="3"/>
  <c r="J37" i="3"/>
  <c r="J36" i="3"/>
  <c r="K36" i="3" s="1"/>
  <c r="J35" i="3"/>
  <c r="K35" i="3" s="1"/>
  <c r="J34" i="3"/>
  <c r="K34" i="3" s="1"/>
  <c r="K33" i="3"/>
  <c r="J33" i="3"/>
  <c r="K32" i="3"/>
  <c r="J31" i="3"/>
  <c r="J30" i="3"/>
  <c r="I28" i="3"/>
  <c r="K27" i="3"/>
  <c r="K26" i="3"/>
  <c r="J26" i="3"/>
  <c r="K21" i="3"/>
  <c r="K28" i="3" s="1"/>
  <c r="J21" i="3"/>
  <c r="J8" i="3"/>
  <c r="J7" i="3"/>
  <c r="J28" i="3" s="1"/>
  <c r="J6" i="3"/>
  <c r="J5" i="3"/>
  <c r="J4" i="3"/>
  <c r="J3" i="3"/>
  <c r="J2" i="3"/>
  <c r="K2" i="3" s="1"/>
  <c r="K172" i="3" l="1"/>
  <c r="K123" i="3"/>
  <c r="J1017" i="3"/>
  <c r="J1325" i="3"/>
  <c r="K1364" i="3"/>
  <c r="K145" i="3"/>
  <c r="J472" i="3"/>
  <c r="K460" i="3"/>
  <c r="K472" i="3" s="1"/>
  <c r="K43" i="3"/>
  <c r="I511" i="3"/>
  <c r="J629" i="3"/>
  <c r="K595" i="3"/>
  <c r="J1386" i="3"/>
  <c r="K1366" i="3"/>
  <c r="K1386" i="3" s="1"/>
  <c r="K629" i="3"/>
  <c r="J1175" i="3"/>
  <c r="K1165" i="3"/>
  <c r="K1175" i="3" s="1"/>
  <c r="K1177" i="3"/>
  <c r="K1196" i="3" s="1"/>
  <c r="J1196" i="3"/>
  <c r="K1203" i="3"/>
  <c r="K1230" i="3" s="1"/>
  <c r="J1230" i="3"/>
  <c r="K44" i="3"/>
  <c r="J230" i="3"/>
  <c r="K717" i="3"/>
  <c r="K1017" i="3" s="1"/>
  <c r="J1102" i="3"/>
  <c r="K1102" i="3"/>
  <c r="K230" i="3"/>
  <c r="K232" i="3"/>
  <c r="K255" i="3" s="1"/>
  <c r="J1060" i="3"/>
  <c r="J1161" i="3"/>
  <c r="J1242" i="3"/>
  <c r="J458" i="3"/>
  <c r="J48" i="3"/>
  <c r="J172" i="3"/>
  <c r="K308" i="3"/>
  <c r="K458" i="3" s="1"/>
  <c r="J302" i="3"/>
  <c r="K1060" i="3"/>
  <c r="K1336" i="3"/>
  <c r="K133" i="3"/>
  <c r="K38" i="3"/>
  <c r="K385" i="3"/>
  <c r="K257" i="3"/>
  <c r="K302" i="3" s="1"/>
  <c r="J534" i="3"/>
  <c r="K517" i="3"/>
  <c r="K534" i="3" s="1"/>
  <c r="K1325" i="3"/>
  <c r="J205" i="3"/>
  <c r="K506" i="3"/>
  <c r="K511" i="3" s="1"/>
  <c r="K1062" i="3"/>
  <c r="K1078" i="3" s="1"/>
  <c r="J1078" i="3"/>
  <c r="J1201" i="3"/>
  <c r="K1198" i="3"/>
  <c r="K1201" i="3" s="1"/>
  <c r="J1364" i="3"/>
  <c r="K1030" i="3"/>
  <c r="J1137" i="3"/>
  <c r="K1142" i="3"/>
  <c r="K1161" i="3" s="1"/>
  <c r="K30" i="3"/>
  <c r="K397" i="3"/>
  <c r="K1327" i="3"/>
  <c r="K1337" i="3" s="1"/>
  <c r="L100" i="2" l="1"/>
  <c r="K100" i="2"/>
  <c r="J100" i="2"/>
  <c r="H99" i="2"/>
  <c r="J97" i="2"/>
  <c r="K96" i="2"/>
  <c r="K95" i="2"/>
  <c r="K94" i="2"/>
  <c r="K93" i="2"/>
  <c r="K91" i="2"/>
  <c r="K97" i="2" s="1"/>
  <c r="K89" i="2"/>
  <c r="J86" i="2"/>
  <c r="J89" i="2" s="1"/>
  <c r="K70" i="2"/>
  <c r="J70" i="2"/>
  <c r="K69" i="2"/>
  <c r="L67" i="2"/>
  <c r="K64" i="2"/>
  <c r="K67" i="2" s="1"/>
  <c r="J64" i="2"/>
  <c r="J67" i="2" s="1"/>
  <c r="L61" i="2"/>
  <c r="K61" i="2"/>
  <c r="J61" i="2"/>
  <c r="L52" i="2"/>
  <c r="K52" i="2"/>
  <c r="J52" i="2"/>
  <c r="L51" i="2"/>
  <c r="H51" i="2"/>
  <c r="K50" i="2"/>
  <c r="J47" i="2"/>
  <c r="K46" i="2"/>
  <c r="K47" i="2" s="1"/>
  <c r="K45" i="2"/>
  <c r="K43" i="2"/>
  <c r="J43" i="2"/>
  <c r="K38" i="2"/>
  <c r="J38" i="2"/>
  <c r="K33" i="2"/>
  <c r="J32" i="2"/>
  <c r="J35" i="2" s="1"/>
  <c r="K31" i="2"/>
  <c r="K30" i="2"/>
  <c r="K29" i="2"/>
  <c r="K28" i="2"/>
  <c r="K27" i="2"/>
  <c r="K26" i="2"/>
  <c r="K25" i="2"/>
  <c r="H18" i="2"/>
  <c r="J18" i="2" s="1"/>
  <c r="J19" i="2" s="1"/>
  <c r="J13" i="2"/>
  <c r="J16" i="2" s="1"/>
  <c r="K10" i="2"/>
  <c r="J10" i="2"/>
  <c r="H9" i="2"/>
  <c r="H8" i="2"/>
  <c r="H7" i="2"/>
  <c r="H6" i="2"/>
  <c r="K4" i="2"/>
  <c r="J4" i="2"/>
  <c r="H3" i="2"/>
  <c r="K32" i="2" l="1"/>
  <c r="K35" i="2" s="1"/>
  <c r="J206" i="1"/>
  <c r="J252" i="1"/>
  <c r="J255" i="1"/>
  <c r="J228" i="1"/>
  <c r="J191" i="1"/>
  <c r="J210" i="1"/>
  <c r="J237" i="1"/>
  <c r="I328" i="1"/>
  <c r="J343" i="1"/>
  <c r="K342" i="1"/>
  <c r="J338" i="1"/>
  <c r="J336" i="1"/>
  <c r="J334" i="1"/>
  <c r="J333" i="1"/>
  <c r="J330" i="1"/>
  <c r="J313" i="1"/>
  <c r="J319" i="1"/>
  <c r="J317" i="1"/>
  <c r="J322" i="1"/>
  <c r="K300" i="1"/>
  <c r="K301" i="1"/>
  <c r="J268" i="1"/>
  <c r="J264" i="1"/>
  <c r="J262" i="1"/>
  <c r="J192" i="1"/>
  <c r="J133" i="1"/>
  <c r="K100" i="1"/>
  <c r="K101" i="1" s="1"/>
  <c r="J85" i="1"/>
  <c r="I21" i="1"/>
  <c r="J127" i="1" l="1"/>
  <c r="K127" i="1" s="1"/>
  <c r="J129" i="1"/>
  <c r="J231" i="1"/>
  <c r="J243" i="1"/>
  <c r="J200" i="1"/>
  <c r="J220" i="1"/>
  <c r="J164" i="1"/>
  <c r="J212" i="1"/>
  <c r="J302" i="1"/>
  <c r="J102" i="1"/>
  <c r="K102" i="1" s="1"/>
  <c r="K33" i="1"/>
  <c r="K34" i="1" s="1"/>
  <c r="K20" i="1"/>
  <c r="K21" i="1" s="1"/>
  <c r="K327" i="1"/>
  <c r="K326" i="1"/>
  <c r="K328" i="1" s="1"/>
  <c r="K308" i="1"/>
  <c r="K36" i="1"/>
  <c r="K35" i="1"/>
  <c r="K29" i="1"/>
  <c r="K30" i="1" s="1"/>
  <c r="K27" i="1"/>
  <c r="K28" i="1" s="1"/>
  <c r="K25" i="1"/>
  <c r="K18" i="1"/>
  <c r="K19" i="1" s="1"/>
  <c r="K47" i="1"/>
  <c r="K48" i="1"/>
  <c r="K49" i="1"/>
  <c r="K50" i="1"/>
  <c r="K46" i="1"/>
  <c r="K53" i="1"/>
  <c r="K54" i="1"/>
  <c r="K55" i="1"/>
  <c r="K57" i="1"/>
  <c r="K58" i="1"/>
  <c r="K59" i="1"/>
  <c r="K52" i="1"/>
  <c r="K62" i="1"/>
  <c r="K61" i="1"/>
  <c r="K69" i="1"/>
  <c r="K72" i="1"/>
  <c r="K73" i="1"/>
  <c r="K76" i="1"/>
  <c r="K77" i="1"/>
  <c r="K78" i="1"/>
  <c r="K80" i="1"/>
  <c r="K68" i="1"/>
  <c r="K64" i="1"/>
  <c r="K65" i="1" s="1"/>
  <c r="K88" i="1"/>
  <c r="K89" i="1"/>
  <c r="K66" i="1"/>
  <c r="K67" i="1" s="1"/>
  <c r="K97" i="1"/>
  <c r="K98" i="1"/>
  <c r="K95" i="1"/>
  <c r="K103" i="1"/>
  <c r="K104" i="1"/>
  <c r="K105" i="1"/>
  <c r="K106" i="1"/>
  <c r="K107" i="1"/>
  <c r="K108" i="1"/>
  <c r="K109" i="1"/>
  <c r="K111" i="1"/>
  <c r="K112" i="1"/>
  <c r="K113" i="1"/>
  <c r="J92" i="1"/>
  <c r="I92" i="1"/>
  <c r="K91" i="1"/>
  <c r="K92" i="1" s="1"/>
  <c r="K119" i="1"/>
  <c r="K123" i="1"/>
  <c r="K93" i="1"/>
  <c r="K94" i="1" s="1"/>
  <c r="K133" i="1"/>
  <c r="K141" i="1"/>
  <c r="K146" i="1"/>
  <c r="K150" i="1"/>
  <c r="K154" i="1"/>
  <c r="K156" i="1"/>
  <c r="K157" i="1"/>
  <c r="K145" i="1"/>
  <c r="K161" i="1"/>
  <c r="K162" i="1"/>
  <c r="K168" i="1"/>
  <c r="K172" i="1"/>
  <c r="K175" i="1"/>
  <c r="K176" i="1"/>
  <c r="K177" i="1"/>
  <c r="K179" i="1"/>
  <c r="K181" i="1"/>
  <c r="K182" i="1"/>
  <c r="K183" i="1"/>
  <c r="K160" i="1"/>
  <c r="J186" i="1"/>
  <c r="K198" i="1"/>
  <c r="K196" i="1"/>
  <c r="K195" i="1"/>
  <c r="K193" i="1"/>
  <c r="K188" i="1"/>
  <c r="K207" i="1"/>
  <c r="K204" i="1"/>
  <c r="K214" i="1"/>
  <c r="K215" i="1"/>
  <c r="K213" i="1"/>
  <c r="K218" i="1"/>
  <c r="J223" i="1"/>
  <c r="K226" i="1"/>
  <c r="K224" i="1"/>
  <c r="K233" i="1"/>
  <c r="K241" i="1"/>
  <c r="K240" i="1"/>
  <c r="K259" i="1"/>
  <c r="K250" i="1"/>
  <c r="K248" i="1"/>
  <c r="J247" i="1"/>
  <c r="K262" i="1"/>
  <c r="K267" i="1"/>
  <c r="K281" i="1"/>
  <c r="K282" i="1"/>
  <c r="K280" i="1"/>
  <c r="K278" i="1"/>
  <c r="K279" i="1" s="1"/>
  <c r="K272" i="1"/>
  <c r="K273" i="1"/>
  <c r="K274" i="1"/>
  <c r="K275" i="1"/>
  <c r="K276" i="1"/>
  <c r="K271" i="1"/>
  <c r="K290" i="1"/>
  <c r="K291" i="1"/>
  <c r="K285" i="1"/>
  <c r="K286" i="1"/>
  <c r="K287" i="1"/>
  <c r="K288" i="1"/>
  <c r="K284" i="1"/>
  <c r="K303" i="1"/>
  <c r="I297" i="1"/>
  <c r="K305" i="1"/>
  <c r="K31" i="1"/>
  <c r="K32" i="1" s="1"/>
  <c r="K314" i="1"/>
  <c r="K321" i="1"/>
  <c r="K324" i="1"/>
  <c r="K44" i="1"/>
  <c r="K45" i="1" s="1"/>
  <c r="K332" i="1"/>
  <c r="K9" i="1"/>
  <c r="K16" i="1"/>
  <c r="K37" i="1" l="1"/>
  <c r="K51" i="1"/>
  <c r="K63" i="1"/>
  <c r="K283" i="1"/>
  <c r="J39" i="1"/>
  <c r="I39" i="1"/>
  <c r="K41" i="1"/>
  <c r="I12" i="1"/>
  <c r="K11" i="1"/>
  <c r="K8" i="1"/>
  <c r="K6" i="1"/>
  <c r="K5" i="1"/>
  <c r="K4" i="1"/>
  <c r="K2" i="1"/>
  <c r="J289" i="1"/>
  <c r="K289" i="1" s="1"/>
  <c r="K39" i="1" l="1"/>
  <c r="J130" i="1"/>
  <c r="J139" i="1"/>
  <c r="J144" i="1" s="1"/>
  <c r="J114" i="1" l="1"/>
  <c r="K114" i="1" s="1"/>
  <c r="I87" i="1"/>
  <c r="I90" i="1" s="1"/>
  <c r="J87" i="1"/>
  <c r="K22" i="1"/>
  <c r="I24" i="1"/>
  <c r="K317" i="1"/>
  <c r="H318" i="1"/>
  <c r="J298" i="1"/>
  <c r="K298" i="1" s="1"/>
  <c r="K343" i="1" l="1"/>
  <c r="J344" i="1"/>
  <c r="J23" i="1"/>
  <c r="K23" i="1" s="1"/>
  <c r="K24" i="1" s="1"/>
  <c r="J309" i="1"/>
  <c r="J24" i="1" l="1"/>
  <c r="K294" i="1"/>
  <c r="K309" i="1" l="1"/>
  <c r="K310" i="1" s="1"/>
  <c r="I94" i="1"/>
  <c r="J94" i="1"/>
  <c r="I37" i="1"/>
  <c r="K264" i="1"/>
  <c r="K266" i="1" s="1"/>
  <c r="K38" i="1"/>
  <c r="K40" i="1"/>
  <c r="J96" i="1" l="1"/>
  <c r="K96" i="1" s="1"/>
  <c r="K99" i="1" s="1"/>
  <c r="J292" i="1"/>
  <c r="K292" i="1" s="1"/>
  <c r="K293" i="1" s="1"/>
  <c r="J328" i="1" l="1"/>
  <c r="J312" i="1"/>
  <c r="J310" i="1"/>
  <c r="J117" i="1"/>
  <c r="J101" i="1"/>
  <c r="J99" i="1"/>
  <c r="J90" i="1"/>
  <c r="J86" i="1"/>
  <c r="J67" i="1"/>
  <c r="J65" i="1"/>
  <c r="J63" i="1"/>
  <c r="J60" i="1"/>
  <c r="J51" i="1"/>
  <c r="J45" i="1"/>
  <c r="I45" i="1"/>
  <c r="J37" i="1"/>
  <c r="J34" i="1"/>
  <c r="J32" i="1"/>
  <c r="J30" i="1"/>
  <c r="J28" i="1"/>
  <c r="J26" i="1"/>
  <c r="J21" i="1"/>
  <c r="J19" i="1"/>
  <c r="K228" i="1" l="1"/>
  <c r="K191" i="1"/>
  <c r="K237" i="1"/>
  <c r="J296" i="1"/>
  <c r="J279" i="1"/>
  <c r="J283" i="1"/>
  <c r="J277" i="1"/>
  <c r="J266" i="1"/>
  <c r="J269" i="1"/>
  <c r="I277" i="1"/>
  <c r="I269" i="1"/>
  <c r="I244" i="1"/>
  <c r="I63" i="1"/>
  <c r="I19" i="1"/>
  <c r="J173" i="1"/>
  <c r="K173" i="1" s="1"/>
  <c r="I101" i="1"/>
  <c r="G38" i="1"/>
  <c r="K270" i="1"/>
  <c r="K277" i="1" s="1"/>
  <c r="I296" i="1"/>
  <c r="I99" i="1"/>
  <c r="I34" i="1"/>
  <c r="I32" i="1"/>
  <c r="I30" i="1"/>
  <c r="I28" i="1"/>
  <c r="I26" i="1"/>
  <c r="K26" i="1" s="1"/>
  <c r="I307" i="1"/>
  <c r="I283" i="1"/>
  <c r="I51" i="1"/>
  <c r="K3" i="1"/>
  <c r="K210" i="1" l="1"/>
  <c r="J81" i="1"/>
  <c r="J304" i="1"/>
  <c r="H124" i="1"/>
  <c r="I148" i="1"/>
  <c r="K148" i="1" s="1"/>
  <c r="K221" i="1"/>
  <c r="J293" i="1"/>
  <c r="J174" i="1"/>
  <c r="K174" i="1" s="1"/>
  <c r="I197" i="1"/>
  <c r="I194" i="1"/>
  <c r="I187" i="1"/>
  <c r="I217" i="1"/>
  <c r="I216" i="1"/>
  <c r="K216" i="1" s="1"/>
  <c r="K206" i="1"/>
  <c r="I201" i="1"/>
  <c r="I225" i="1"/>
  <c r="I232" i="1"/>
  <c r="K252" i="1"/>
  <c r="I245" i="1"/>
  <c r="I265" i="1"/>
  <c r="I293" i="1"/>
  <c r="I299" i="1"/>
  <c r="I311" i="1"/>
  <c r="K336" i="1"/>
  <c r="I339" i="1"/>
  <c r="K339" i="1" s="1"/>
  <c r="I341" i="1"/>
  <c r="K341" i="1" s="1"/>
  <c r="I337" i="1"/>
  <c r="K337" i="1" s="1"/>
  <c r="I338" i="1"/>
  <c r="K335" i="1"/>
  <c r="I190" i="1"/>
  <c r="K190" i="1" s="1"/>
  <c r="I236" i="1"/>
  <c r="I254" i="1"/>
  <c r="I209" i="1"/>
  <c r="I227" i="1"/>
  <c r="I260" i="1"/>
  <c r="I258" i="1"/>
  <c r="K258" i="1" s="1"/>
  <c r="K211" i="1"/>
  <c r="I220" i="1"/>
  <c r="I186" i="1"/>
  <c r="I253" i="1"/>
  <c r="K253" i="1" s="1"/>
  <c r="I249" i="1"/>
  <c r="I234" i="1"/>
  <c r="I189" i="1"/>
  <c r="I184" i="1"/>
  <c r="K184" i="1" s="1"/>
  <c r="H180" i="1"/>
  <c r="I180" i="1" s="1"/>
  <c r="K180" i="1" s="1"/>
  <c r="G181" i="1"/>
  <c r="I178" i="1"/>
  <c r="K178" i="1" s="1"/>
  <c r="I171" i="1"/>
  <c r="K171" i="1" s="1"/>
  <c r="I170" i="1"/>
  <c r="K170" i="1" s="1"/>
  <c r="I169" i="1"/>
  <c r="K169" i="1" s="1"/>
  <c r="I167" i="1"/>
  <c r="K167" i="1" s="1"/>
  <c r="I165" i="1"/>
  <c r="I163" i="1"/>
  <c r="I164" i="1"/>
  <c r="K164" i="1" s="1"/>
  <c r="I158" i="1"/>
  <c r="I155" i="1"/>
  <c r="K155" i="1" s="1"/>
  <c r="I153" i="1"/>
  <c r="K153" i="1" s="1"/>
  <c r="I152" i="1"/>
  <c r="K152" i="1" s="1"/>
  <c r="I151" i="1"/>
  <c r="K151" i="1" s="1"/>
  <c r="I149" i="1"/>
  <c r="K149" i="1" s="1"/>
  <c r="I147" i="1"/>
  <c r="K147" i="1" s="1"/>
  <c r="I142" i="1"/>
  <c r="I140" i="1"/>
  <c r="I137" i="1"/>
  <c r="I131" i="1"/>
  <c r="I132" i="1"/>
  <c r="I125" i="1"/>
  <c r="K125" i="1" s="1"/>
  <c r="I122" i="1"/>
  <c r="K122" i="1" s="1"/>
  <c r="I120" i="1"/>
  <c r="K120" i="1" s="1"/>
  <c r="I118" i="1"/>
  <c r="K118" i="1" s="1"/>
  <c r="I116" i="1"/>
  <c r="K116" i="1" s="1"/>
  <c r="K117" i="1" s="1"/>
  <c r="I79" i="1"/>
  <c r="K79" i="1" s="1"/>
  <c r="I74" i="1"/>
  <c r="K74" i="1" s="1"/>
  <c r="I70" i="1"/>
  <c r="K70" i="1" s="1"/>
  <c r="I71" i="1"/>
  <c r="K71" i="1" s="1"/>
  <c r="I75" i="1"/>
  <c r="K75" i="1" s="1"/>
  <c r="G42" i="1"/>
  <c r="I212" i="1"/>
  <c r="I219" i="1" l="1"/>
  <c r="K81" i="1"/>
  <c r="I144" i="1"/>
  <c r="I185" i="1"/>
  <c r="K163" i="1"/>
  <c r="I312" i="1"/>
  <c r="K311" i="1"/>
  <c r="K312" i="1" s="1"/>
  <c r="K329" i="1"/>
  <c r="I344" i="1"/>
  <c r="I199" i="1"/>
  <c r="K333" i="1"/>
  <c r="K334" i="1"/>
  <c r="K338" i="1"/>
  <c r="I230" i="1"/>
  <c r="K256" i="1"/>
  <c r="K318" i="1"/>
  <c r="I81" i="1"/>
  <c r="I42" i="1"/>
  <c r="I43" i="1" s="1"/>
  <c r="I13" i="1"/>
  <c r="I14" i="1"/>
  <c r="I10" i="1"/>
  <c r="I124" i="1"/>
  <c r="J42" i="1"/>
  <c r="J43" i="1" s="1"/>
  <c r="J121" i="1"/>
  <c r="K121" i="1" s="1"/>
  <c r="I128" i="1" l="1"/>
  <c r="K124" i="1"/>
  <c r="K42" i="1"/>
  <c r="K43" i="1" s="1"/>
  <c r="I17" i="1"/>
  <c r="K10" i="1"/>
  <c r="J307" i="1"/>
  <c r="I320" i="1"/>
  <c r="K297" i="1"/>
  <c r="K320" i="1" l="1"/>
  <c r="I325" i="1"/>
  <c r="K295" i="1"/>
  <c r="K296" i="1" s="1"/>
  <c r="K306" i="1"/>
  <c r="K307" i="1" s="1"/>
  <c r="K85" i="1"/>
  <c r="K86" i="1" s="1"/>
  <c r="J7" i="1"/>
  <c r="I56" i="1"/>
  <c r="K56" i="1" s="1"/>
  <c r="K60" i="1" s="1"/>
  <c r="J110" i="1"/>
  <c r="K110" i="1" s="1"/>
  <c r="K115" i="1" s="1"/>
  <c r="K7" i="1" l="1"/>
  <c r="K17" i="1" s="1"/>
  <c r="J17" i="1"/>
  <c r="K220" i="1"/>
  <c r="I60" i="1"/>
  <c r="J115" i="1"/>
  <c r="K87" i="1" l="1"/>
  <c r="K90" i="1" s="1"/>
  <c r="K244" i="1" l="1"/>
  <c r="J126" i="1"/>
  <c r="J194" i="1"/>
  <c r="K194" i="1" s="1"/>
  <c r="J246" i="1"/>
  <c r="K246" i="1" s="1"/>
  <c r="J166" i="1"/>
  <c r="K166" i="1" s="1"/>
  <c r="J209" i="1"/>
  <c r="K209" i="1" s="1"/>
  <c r="J229" i="1"/>
  <c r="K192" i="1"/>
  <c r="K238" i="1"/>
  <c r="J202" i="1"/>
  <c r="J227" i="1"/>
  <c r="K227" i="1" s="1"/>
  <c r="J254" i="1"/>
  <c r="K254" i="1" s="1"/>
  <c r="J236" i="1"/>
  <c r="K236" i="1" s="1"/>
  <c r="J128" i="1" l="1"/>
  <c r="K126" i="1"/>
  <c r="K128" i="1" s="1"/>
  <c r="K330" i="1"/>
  <c r="K186" i="1"/>
  <c r="J199" i="1"/>
  <c r="J205" i="1"/>
  <c r="K205" i="1" s="1"/>
  <c r="J251" i="1"/>
  <c r="K251" i="1" s="1"/>
  <c r="J232" i="1"/>
  <c r="J245" i="1"/>
  <c r="J201" i="1"/>
  <c r="J222" i="1"/>
  <c r="J165" i="1"/>
  <c r="K340" i="1"/>
  <c r="J185" i="1" l="1"/>
  <c r="K165" i="1"/>
  <c r="K185" i="1" s="1"/>
  <c r="K222" i="1"/>
  <c r="K201" i="1"/>
  <c r="K245" i="1"/>
  <c r="K232" i="1"/>
  <c r="J257" i="1"/>
  <c r="K257" i="1" s="1"/>
  <c r="K229" i="1"/>
  <c r="K212" i="1"/>
  <c r="J239" i="1"/>
  <c r="K239" i="1" s="1"/>
  <c r="J261" i="1" l="1"/>
  <c r="J242" i="1"/>
  <c r="K138" i="1"/>
  <c r="K322" i="1"/>
  <c r="K231" i="1"/>
  <c r="K243" i="1"/>
  <c r="K200" i="1"/>
  <c r="K197" i="1"/>
  <c r="K199" i="1" s="1"/>
  <c r="J135" i="1" l="1"/>
  <c r="K202" i="1" l="1"/>
  <c r="J316" i="1"/>
  <c r="K316" i="1" s="1"/>
  <c r="J158" i="1"/>
  <c r="K158" i="1" s="1"/>
  <c r="K159" i="1" s="1"/>
  <c r="J203" i="1"/>
  <c r="J219" i="1" s="1"/>
  <c r="K143" i="1"/>
  <c r="K139" i="1"/>
  <c r="K144" i="1" s="1"/>
  <c r="K135" i="1"/>
  <c r="K255" i="1"/>
  <c r="K130" i="1"/>
  <c r="K315" i="1"/>
  <c r="K268" i="1"/>
  <c r="K269" i="1" s="1"/>
  <c r="K323" i="1"/>
  <c r="K302" i="1"/>
  <c r="K304" i="1" s="1"/>
  <c r="K331" i="1"/>
  <c r="K344" i="1" s="1"/>
  <c r="K208" i="1"/>
  <c r="J134" i="1"/>
  <c r="K319" i="1"/>
  <c r="K235" i="1"/>
  <c r="K242" i="1" s="1"/>
  <c r="I136" i="1"/>
  <c r="I310" i="1"/>
  <c r="I304" i="1"/>
  <c r="I266" i="1"/>
  <c r="I242" i="1"/>
  <c r="I159" i="1"/>
  <c r="I117" i="1"/>
  <c r="I115" i="1"/>
  <c r="I86" i="1"/>
  <c r="I346" i="1" l="1"/>
  <c r="K134" i="1"/>
  <c r="J159" i="1"/>
  <c r="K313" i="1"/>
  <c r="K325" i="1" s="1"/>
  <c r="J325" i="1"/>
  <c r="K203" i="1"/>
  <c r="K219" i="1" s="1"/>
  <c r="K247" i="1"/>
  <c r="K261" i="1" s="1"/>
  <c r="K223" i="1"/>
  <c r="K230" i="1" s="1"/>
  <c r="J230" i="1"/>
  <c r="I261" i="1"/>
  <c r="J136" i="1"/>
  <c r="K129" i="1"/>
  <c r="K136" i="1" s="1"/>
  <c r="K67" i="3"/>
  <c r="K50" i="3"/>
  <c r="I1201" i="3"/>
  <c r="K64" i="3"/>
  <c r="K54" i="3"/>
  <c r="K59" i="3"/>
  <c r="K68" i="3"/>
  <c r="K66" i="3"/>
  <c r="K57" i="3"/>
  <c r="K55" i="3"/>
  <c r="K60" i="3"/>
  <c r="K31" i="3"/>
  <c r="K58" i="3"/>
  <c r="K62" i="3"/>
  <c r="K65" i="3"/>
  <c r="K52" i="3"/>
  <c r="K51" i="3"/>
  <c r="K63" i="3"/>
  <c r="K61" i="3"/>
  <c r="K5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Rojas Solano</author>
  </authors>
  <commentList>
    <comment ref="D124" authorId="0" shapeId="0" xr:uid="{1266E4E3-B68B-4506-9971-6CCC26745A67}">
      <text>
        <r>
          <rPr>
            <b/>
            <sz val="9"/>
            <color indexed="81"/>
            <rFont val="Tahoma"/>
            <family val="2"/>
          </rPr>
          <t>Carlos Rojas Solano:</t>
        </r>
        <r>
          <rPr>
            <sz val="9"/>
            <color indexed="81"/>
            <rFont val="Tahoma"/>
            <family val="2"/>
          </rPr>
          <t xml:space="preserve">
Drake, Golfito, Guápiles, Nosara, Palmar Sur, San Isidro todo de CM</t>
        </r>
      </text>
    </comment>
    <comment ref="D127" authorId="0" shapeId="0" xr:uid="{074BED5E-4A72-40C4-B6E1-D4F0FDC86014}">
      <text>
        <r>
          <rPr>
            <b/>
            <sz val="9"/>
            <color indexed="81"/>
            <rFont val="Tahoma"/>
            <family val="2"/>
          </rPr>
          <t>Carlos Rojas Solano:</t>
        </r>
        <r>
          <rPr>
            <sz val="9"/>
            <color indexed="81"/>
            <rFont val="Tahoma"/>
            <family val="2"/>
          </rPr>
          <t xml:space="preserve">
Aeródromo Drake, Golfito, Nosara, Palmar Sur, Quepos, Guápiles, Palmar Sur, San Isidro.</t>
        </r>
      </text>
    </comment>
  </commentList>
</comments>
</file>

<file path=xl/sharedStrings.xml><?xml version="1.0" encoding="utf-8"?>
<sst xmlns="http://schemas.openxmlformats.org/spreadsheetml/2006/main" count="26430" uniqueCount="2311">
  <si>
    <t>Tipo de Compra</t>
  </si>
  <si>
    <t xml:space="preserve">Subpartida Presupuestaria
</t>
  </si>
  <si>
    <t>COD CF</t>
  </si>
  <si>
    <t>Descripción de Centro Funcional</t>
  </si>
  <si>
    <t>DISPONIBLE</t>
  </si>
  <si>
    <t>Servicios</t>
  </si>
  <si>
    <t xml:space="preserve">10499230000001      </t>
  </si>
  <si>
    <t>10499</t>
  </si>
  <si>
    <t>10499-230-000001 SERVICIO DE EMBALAJE</t>
  </si>
  <si>
    <t xml:space="preserve">11001     </t>
  </si>
  <si>
    <t>ACCIDENTES E INCIDENTES /ADMINISTRACION GENERAL</t>
  </si>
  <si>
    <t xml:space="preserve">7215450392030786    </t>
  </si>
  <si>
    <t>10102</t>
  </si>
  <si>
    <t>7215450392030786 ALQUILER DE GRUA</t>
  </si>
  <si>
    <t xml:space="preserve">7315999790016911    </t>
  </si>
  <si>
    <t>7315999790016911 ALQUILER DE BACK-HOE</t>
  </si>
  <si>
    <t xml:space="preserve">7612150192001806    </t>
  </si>
  <si>
    <t>10299</t>
  </si>
  <si>
    <t>7612150192001806 RECOLECCION DE DESECHOS BIOINFECCIOSOS</t>
  </si>
  <si>
    <t xml:space="preserve">7810150292148703    </t>
  </si>
  <si>
    <t>10304</t>
  </si>
  <si>
    <t>7810150292148703 TRANSPORTE DE CARGA DE OBJETOS Y ANIMALES HACIA, DEL EXTERIOR O DENTRO</t>
  </si>
  <si>
    <t xml:space="preserve">7810180192047651    </t>
  </si>
  <si>
    <t>7810180192047651 TRANSPORTE DE VALORES</t>
  </si>
  <si>
    <t xml:space="preserve">8114150392114278    </t>
  </si>
  <si>
    <t>10401</t>
  </si>
  <si>
    <t>8114150392114278 SERVICIO DE LABORATORIO PARA MUESTRAS DE MATERIALES</t>
  </si>
  <si>
    <t xml:space="preserve">8116180192104540    </t>
  </si>
  <si>
    <t>10307</t>
  </si>
  <si>
    <t>8116180192104540 TRANSFERENCIA ELECTRONICA DE INFORMACION</t>
  </si>
  <si>
    <t xml:space="preserve">8211180192005285    </t>
  </si>
  <si>
    <t>10404</t>
  </si>
  <si>
    <t>8211180192005285 CONSULTORIA O ASESORIA EN FILOLOGIA</t>
  </si>
  <si>
    <t xml:space="preserve">8211180492026840    </t>
  </si>
  <si>
    <t>8211180492026840 SERVICIO DE TRADUCCION</t>
  </si>
  <si>
    <t xml:space="preserve">8212170292002500    </t>
  </si>
  <si>
    <t>10303</t>
  </si>
  <si>
    <t>8212170292002500 SERVICIO DE FOTOCOPIADO</t>
  </si>
  <si>
    <t xml:space="preserve">8212190392047573    </t>
  </si>
  <si>
    <t>8212190392047573 SERVICIO DE EMPASTE</t>
  </si>
  <si>
    <t xml:space="preserve">8311199892096333    </t>
  </si>
  <si>
    <t>10104</t>
  </si>
  <si>
    <t>8311199892096333 PAGO FRECUENCIA DE RADIO-ALQUILER</t>
  </si>
  <si>
    <t xml:space="preserve">8411160392043362    </t>
  </si>
  <si>
    <t>8411160392043362 SERVICIO DE CERTIFICACION ISO 9001</t>
  </si>
  <si>
    <t>TOTALES PARA EL ÁREA ACCIDENTES E INCIDENTES /ADMINISTRACION GENERAL</t>
  </si>
  <si>
    <t>Servicios Campo Aéreo</t>
  </si>
  <si>
    <t xml:space="preserve">7611150190033785    </t>
  </si>
  <si>
    <t>10406</t>
  </si>
  <si>
    <t>7611150190033785 SERVICIO DE LIMPIEZA</t>
  </si>
  <si>
    <t xml:space="preserve">1140202   </t>
  </si>
  <si>
    <t xml:space="preserve">8512180592078071    </t>
  </si>
  <si>
    <t>8512180592078071 SERVICIOS PROFESIONALES EN MEDICINA AERONAUTICA PARA VALORACIONES MEDICAS AL PERSONAL</t>
  </si>
  <si>
    <t xml:space="preserve">9210150190003861    </t>
  </si>
  <si>
    <t>9210150190003861 SERVICIO DE SEGURIDAD Y VIGILANCIA</t>
  </si>
  <si>
    <t>TOTALES PARA EL ÁREA ADMINISTRACION DEL ESPACIO ATM  AIJS</t>
  </si>
  <si>
    <t xml:space="preserve">10301001000010      </t>
  </si>
  <si>
    <t>10301</t>
  </si>
  <si>
    <t>10301-001-000010 SERVICIO DE PUBLICIDAD EN EL DIARIO OFICIAL LA GACETA</t>
  </si>
  <si>
    <t xml:space="preserve">1110301   </t>
  </si>
  <si>
    <t>AERONAVEGABILIDAD ADMINISTRACIÓN GENERAL</t>
  </si>
  <si>
    <t xml:space="preserve">10401900000135      </t>
  </si>
  <si>
    <t>10401-900-000135 SERVICIO DE LABORATORIO PARA PRUEBAS DE PCR-RT PARA DETECCION DE VIRUS</t>
  </si>
  <si>
    <t xml:space="preserve">8111230692104005    </t>
  </si>
  <si>
    <t>10808</t>
  </si>
  <si>
    <t>8111230692104005 MANTENIMIENTO Y REPARACION DE IMPRESORA</t>
  </si>
  <si>
    <t>TOTALES PARA EL ÁREA AERONAVEGABILIDAD ADMINISTRACIÓN GENERAL</t>
  </si>
  <si>
    <t xml:space="preserve">10899900003100      </t>
  </si>
  <si>
    <t>10899</t>
  </si>
  <si>
    <t>10899-900-003100 REPARACION Y/O MANTENIMIENTO PREVENTIVO Y CORRECTIVO DE EQUIPO DESHUMIFICADOR</t>
  </si>
  <si>
    <t xml:space="preserve">2230201   </t>
  </si>
  <si>
    <t>ARCHIVO INSTITUCIONAL ADM GENERAL</t>
  </si>
  <si>
    <t xml:space="preserve">7215360692029882    </t>
  </si>
  <si>
    <t>10807</t>
  </si>
  <si>
    <t>7215360692029882 REPARACION DE MOBILIARIO DE OFICINA</t>
  </si>
  <si>
    <t xml:space="preserve">7215406692045500    </t>
  </si>
  <si>
    <t>7215406692045500 MANTENIMIENTO, REPARACION Y LIMPIEZA DE MAQUINA DESTRUCTORA DE PAPEL</t>
  </si>
  <si>
    <t xml:space="preserve">8013150292064925    </t>
  </si>
  <si>
    <t>10101</t>
  </si>
  <si>
    <t>8013150292064925 ALQUILER DE BODEGAS</t>
  </si>
  <si>
    <t xml:space="preserve">8111200592112377    </t>
  </si>
  <si>
    <t>8111200592112377 SERVICIO DE DIGITALIZACION O ESCANEO DE DOCUMENTOS (ARCHIVOS, ETC)</t>
  </si>
  <si>
    <t>8116180192104540 SERVICIOS DE TECNOLOGIA DE INFORMACION (CERTIFICADOS DE FIRMA)</t>
  </si>
  <si>
    <t>TOTALES PARA EL ÁREA ARCHIVO INSTITUCIONAL ADM GENERAL</t>
  </si>
  <si>
    <t>10999</t>
  </si>
  <si>
    <t xml:space="preserve">2230501   </t>
  </si>
  <si>
    <t>TOTALES PARA EL ÁREA ASESORIA LEGAL ADMINISTRACIÓN GENERAL</t>
  </si>
  <si>
    <t xml:space="preserve">10307900130401      </t>
  </si>
  <si>
    <t>10307-900-130401 SUSCRIPCION A REVISTA DIGITAL</t>
  </si>
  <si>
    <t xml:space="preserve">22101     </t>
  </si>
  <si>
    <t>AUDITORIA INTERNA ADMINISTRACION GENERAL</t>
  </si>
  <si>
    <t xml:space="preserve">10701001001270      </t>
  </si>
  <si>
    <t>10701</t>
  </si>
  <si>
    <t>10701-001-001270 CAPACITACION EN AUDITORIA</t>
  </si>
  <si>
    <t xml:space="preserve">8010150792106835    </t>
  </si>
  <si>
    <t>10405</t>
  </si>
  <si>
    <t>8010150792106835 EVALUACION A LA GESTION DE TECNOLOGIAS DE INFORMACION</t>
  </si>
  <si>
    <t xml:space="preserve">8012169892075839    </t>
  </si>
  <si>
    <t>10402</t>
  </si>
  <si>
    <t>8012169892075839 CONSULTORIA O ASESORIA EN ABOGACIA Y NOTARIADO</t>
  </si>
  <si>
    <t xml:space="preserve">8110150592099161    </t>
  </si>
  <si>
    <t>10403</t>
  </si>
  <si>
    <t>8110150592099161 CONSULTORIA O ASESORIA EN INGENIERIA</t>
  </si>
  <si>
    <t xml:space="preserve">8111230792020646    </t>
  </si>
  <si>
    <t>8111230792020646 MANTENIMIENTO Y REPARACION DE EQUIPO DE COMPUTO</t>
  </si>
  <si>
    <t xml:space="preserve">8411160192000968    </t>
  </si>
  <si>
    <t>8411160192000968 AUDITORIA (AUDITORIA FIDEICOMISO AIJS)</t>
  </si>
  <si>
    <t>8411160392043362 SERVICIO DE CERTIFICACION ISO 9001 (AUDITORIA DE MANTENIMIENTO AL SISTEMA DE GESTION DE CALIDAD DE LA AUDITORIA INTERNA)</t>
  </si>
  <si>
    <t>8411160392043362 SERVICIO DE CERTIFICACION ISO 9001 (AUDITORIA INTERNA AL SISTEMA DE GESTION IMPLEMENTADO EN LA AI CETAC)</t>
  </si>
  <si>
    <t xml:space="preserve">8411169992052516    </t>
  </si>
  <si>
    <t>8411169992052516 CONSULTORIA O ASESORIA EN CONTROL DE CALIDAD</t>
  </si>
  <si>
    <t xml:space="preserve">8411169992122282    </t>
  </si>
  <si>
    <t>8411169992122282 AUDITORIA FINANCIERA (REVISION ESPECIFICAS DE CUENTAS)</t>
  </si>
  <si>
    <t>8411169992122282 AUDITORIA FINANCIERA (SEGUIMIENTO A LA IMPLEMENTACION DE LAS NICSP)</t>
  </si>
  <si>
    <t>TOTALES PARA EL ÁREA AUDITORIA INTERNA ADMINISTRACION GENERAL</t>
  </si>
  <si>
    <t xml:space="preserve">10808015000001      </t>
  </si>
  <si>
    <t>10808-015-000001 REPARACION Y/O MANTENIMIENTO CORRECTIVO Y/O PREVENTIVO</t>
  </si>
  <si>
    <t xml:space="preserve">1110701   </t>
  </si>
  <si>
    <t>AVSEFAL ADMINISTRACIÓN GENERAL</t>
  </si>
  <si>
    <t xml:space="preserve">8511160992082777    </t>
  </si>
  <si>
    <t>8511160992082777 SERVICIO DE DOSIMETRIA</t>
  </si>
  <si>
    <t>TOTALES PARA EL ÁREA AVSEFAL ADMINISTRACIÓN GENERAL</t>
  </si>
  <si>
    <t>10301-001-000010 SERVICIO DE PUBLICACION EN EL DIARIO OFICIAL LA GACETA</t>
  </si>
  <si>
    <t xml:space="preserve">22401     </t>
  </si>
  <si>
    <t>CETAC ADMINISTRACIÓN GENERAL</t>
  </si>
  <si>
    <t xml:space="preserve">8212150392019749    </t>
  </si>
  <si>
    <t>8212150392019749 SERVICIOS VARIOS IMPRESION Y ENCUADERNACION</t>
  </si>
  <si>
    <t>TOTALES PARA EL ÁREA CETAC ADMINISTRACIÓN GENERAL</t>
  </si>
  <si>
    <t xml:space="preserve">2230101   </t>
  </si>
  <si>
    <t xml:space="preserve">8210180292005363    </t>
  </si>
  <si>
    <t>8210180292005363 SERVICIO DE INFORMACION</t>
  </si>
  <si>
    <t xml:space="preserve">8613220192125203    </t>
  </si>
  <si>
    <t>8613220192125203 ACTIVIDADES DE CAPACITACION</t>
  </si>
  <si>
    <t>TOTALES PARA EL ÁREA DIRECCION GENERAL ADMINISTRACIÓN GENERAL</t>
  </si>
  <si>
    <t xml:space="preserve">2230801   </t>
  </si>
  <si>
    <t>GESTIÓN INSTITUCIONAL REC. HUM. ADMINISTRACIÓN GENERAL</t>
  </si>
  <si>
    <t xml:space="preserve">10806900001000      </t>
  </si>
  <si>
    <t>10806</t>
  </si>
  <si>
    <t>10806-900-001000 MANTENIMIENTO PREVENTIVO Y CORRECTIVO DE PROYECTOR Y/O RETRO PROYECTOR (VIDEO BEAM)</t>
  </si>
  <si>
    <t>10899-900-003100 REPARACION Y/O MANTENIMIENTO DE DESHUMIFICADOR</t>
  </si>
  <si>
    <t xml:space="preserve">7210159992157790    </t>
  </si>
  <si>
    <t>7210159992157790 C.M REPARACION Y/O MANTENIMIENTO PREVENTIVO Y CORRECTIVO DE EQUIPO</t>
  </si>
  <si>
    <t>7210159992157790 REPARACION Y/O MANTENIMIENTO PREVENTIVO Y CORRECTIVO VENTILADOR INDUSTRIAL</t>
  </si>
  <si>
    <t xml:space="preserve">7315210692014856    </t>
  </si>
  <si>
    <t>7315210692014856 REPARACION DE MICROONDAS</t>
  </si>
  <si>
    <t xml:space="preserve">7315219892015454    </t>
  </si>
  <si>
    <t>7315219892015454 REPARACION Y/O MANTENIMIENTO DE REFRIGERADORAS</t>
  </si>
  <si>
    <t>7612150192001806 C.M RECOLECCION DE DESECHOS BIOINFECCIOSOS</t>
  </si>
  <si>
    <t>8613220192125203 CAPACITACIONSOBRE PRUEBAS PSICOMETRICAS HOJA DE RESPUESTAS PAI</t>
  </si>
  <si>
    <t xml:space="preserve">9111150292018735    </t>
  </si>
  <si>
    <t>9111150292018735 C.M LAVADO DE ROPA</t>
  </si>
  <si>
    <t>TOTALES PARA EL ÁREA GESTIÓN INSTITUCIONAL REC. HUM. ADMINISTRACIÓN GENERAL</t>
  </si>
  <si>
    <t xml:space="preserve">1140301   </t>
  </si>
  <si>
    <t>TOTALES PARA EL ÁREA INFORMACION AERONAUTICA AIM ADMINISTRACIÓN GENERAL</t>
  </si>
  <si>
    <t>Servicios Terminal</t>
  </si>
  <si>
    <t xml:space="preserve">10199900001000      </t>
  </si>
  <si>
    <t>10199</t>
  </si>
  <si>
    <t>10199-900-001000 ALQUILER DE TOLDOS</t>
  </si>
  <si>
    <t xml:space="preserve">3150606   </t>
  </si>
  <si>
    <t>INFRAEST AERODROMOS LOCALES  AERÓDROMOS</t>
  </si>
  <si>
    <t xml:space="preserve">7017150192031420    </t>
  </si>
  <si>
    <t>7017150192031420 SERVICIO DE ANALISIS DE POTABILIDAD DEL AGUA</t>
  </si>
  <si>
    <t>7210159992157790 REPARACION Y/O MANTENIMIENTO PREVENTIVO Y CORRECTIVO DE EQUIPO</t>
  </si>
  <si>
    <t xml:space="preserve">7611150190038648    </t>
  </si>
  <si>
    <t>7611150190038640 SERVICIO DE LIMPIEZA (CONTRATO MARCO)</t>
  </si>
  <si>
    <t xml:space="preserve">9099110192086283    </t>
  </si>
  <si>
    <t>9099110192086283 SERVICIO DE ALQUILER O ARRENDAMIENTO DE EQUIPOS DE FILTRACIÓN Y PURIFICACIÓN DE AGUA PARA CONSUMO HUMANO (OTROS ALQUILERES)</t>
  </si>
  <si>
    <t>9210150190003860 SERVICIO DE SEGURIDAD Y VIGILANCIA</t>
  </si>
  <si>
    <t>TOTALES PARA EL ÁREA INFRAEST AERODROMOS LOCALES  AERÓDROMOS</t>
  </si>
  <si>
    <t xml:space="preserve">7210210392047317    </t>
  </si>
  <si>
    <t>7210210392047317 SERVICIO DE FUMIGACION</t>
  </si>
  <si>
    <t xml:space="preserve">3150303   </t>
  </si>
  <si>
    <t>INFRAEST AIDOQ AIDOQ</t>
  </si>
  <si>
    <t>7611150190038648 SERVICIO DE LIMPIEZA (CONTRATO MARCO)</t>
  </si>
  <si>
    <t xml:space="preserve">8212150392130758    </t>
  </si>
  <si>
    <t>8212150392130758 SERVICIO DE IMPRESION DE CALCOMANIAS</t>
  </si>
  <si>
    <t xml:space="preserve">8212150790005160    </t>
  </si>
  <si>
    <t>8212150790005160 SERVICIO DE IMPRESION DE FORMULARIOS</t>
  </si>
  <si>
    <t xml:space="preserve">8512150490042533    </t>
  </si>
  <si>
    <t>8512150490042533 SERVICIOS DE ASISTENCIA MEDICA</t>
  </si>
  <si>
    <t>TOTALES PARA EL ÁREA INFRAEST AIDOQ AIDOQ</t>
  </si>
  <si>
    <t xml:space="preserve">10199900000400      </t>
  </si>
  <si>
    <t>10199-900-000400 ALQUILER DE CABAÑA SANITARIA PORTATIL</t>
  </si>
  <si>
    <t xml:space="preserve">3150505   </t>
  </si>
  <si>
    <t>INFRAEST AIL AIL</t>
  </si>
  <si>
    <t xml:space="preserve">7612150192010860    </t>
  </si>
  <si>
    <t>7612150192010860 SERVICIO DE RECOLECCION, TRASLADO Y TRANSPORTE DE BASURA</t>
  </si>
  <si>
    <t xml:space="preserve">8212150790005160 SERVICIO DE IMPRESION DE FORMULARIOS </t>
  </si>
  <si>
    <t xml:space="preserve">9099110192086283 SERVICIO DE ALQUILER O ARRENDAMIENTO DE EQUIPOS DE FILTRACION Y PURIFICACION DE AGUA PARA CONSUMO HUMANO (OTROS ALQUILERES) </t>
  </si>
  <si>
    <t>TOTALES PARA EL ÁREA INFRAEST AIL AIL</t>
  </si>
  <si>
    <t xml:space="preserve">10406900009000      </t>
  </si>
  <si>
    <t>10406-900-009000 REAJUSTE DE PRECIOS (SERVICIO DE LIMPIEZA)</t>
  </si>
  <si>
    <t xml:space="preserve">3150404   </t>
  </si>
  <si>
    <t>INFRAEST AITBP AITB</t>
  </si>
  <si>
    <t xml:space="preserve">7710150492172427    </t>
  </si>
  <si>
    <t>7710150492172427 ESTUDIO DE IMPACTO AMBIENTAL POR RUIDO</t>
  </si>
  <si>
    <t>7810150292148703 SERVICIO TRANSPORTE DE CARGA DE OBJETOS Y ANIMALES</t>
  </si>
  <si>
    <t xml:space="preserve">8212150392130759    </t>
  </si>
  <si>
    <t>8212150392130759 CONFECCION DE ROTULO</t>
  </si>
  <si>
    <t>8212150790005160 SERVICIOS DE IMPRESION DE FORMULARIOS</t>
  </si>
  <si>
    <t xml:space="preserve">8311199992022776    </t>
  </si>
  <si>
    <t>8311199992022776 MANTENIMIENTO PREVENTIVO Y CORRECTIVO DE EQUIPO DE COMUNICACION</t>
  </si>
  <si>
    <t>9099110192086283 SERVICIO DE ALQUILER O ARRENDAMIENTO DE EQUIPOS DE FILTRACIÓN Y PURIFICACIÓN DE AGUA PARA CONSUMO HUMANO</t>
  </si>
  <si>
    <t>TOTALES PARA EL ÁREA INFRAEST AITBP AITB</t>
  </si>
  <si>
    <t>10406-900-009000 REAJUSTE DE PRECIOS</t>
  </si>
  <si>
    <t xml:space="preserve">31301     </t>
  </si>
  <si>
    <t>INFRAEST MANT. ADMINISTRACIÓN GENERAL</t>
  </si>
  <si>
    <t xml:space="preserve">10802005000005      </t>
  </si>
  <si>
    <t>10802</t>
  </si>
  <si>
    <t>10802005000005 DEMARCACION HORIZONTAL DE PISTA Y CALLEDE RODAJE EN AEROPUERTOS</t>
  </si>
  <si>
    <t>31301</t>
  </si>
  <si>
    <t xml:space="preserve">10807070000010      </t>
  </si>
  <si>
    <t>10807-070-000010 MANTENIMIENTO PREVENTIVO Y CORRECTIVO DE AIRE ACONDICIONADO</t>
  </si>
  <si>
    <t xml:space="preserve">7210150690006577    </t>
  </si>
  <si>
    <t>10801</t>
  </si>
  <si>
    <t>7210150690006577 MANTENIMIENTO DE ASCENSOR Y/O ESCALERAS ELECTRICAS</t>
  </si>
  <si>
    <t xml:space="preserve">7210150790004458    </t>
  </si>
  <si>
    <t>7210150790004458 MANTENIMIENTO Y REPARACION DE EDIFICIO</t>
  </si>
  <si>
    <t xml:space="preserve">7210150790034579    </t>
  </si>
  <si>
    <t>7210150790034579 MANTENIMIENTO PREVENTIVO Y CORRECTIVO DE PORTON ELECTRICO</t>
  </si>
  <si>
    <t xml:space="preserve">7210151192006958    </t>
  </si>
  <si>
    <t>7210151192006958 SERVICIO DE TRASLADO E INSTALACION DE AIRES ACONDICIONADOS</t>
  </si>
  <si>
    <t xml:space="preserve">7215360492040404    </t>
  </si>
  <si>
    <t>7215360492040404 SERVICIO DE INSTALACION DE PERSIANAS</t>
  </si>
  <si>
    <t xml:space="preserve">7215402192022337    </t>
  </si>
  <si>
    <t>7215402192022337 SERVICIO DE POLARIZADO DE VIDRIO</t>
  </si>
  <si>
    <t xml:space="preserve">7215406592032675    </t>
  </si>
  <si>
    <t>7215406592032675 MANTENIMIENTO PREVENTIVO Y CORRECTIVO DE FOTOCOPIADORA</t>
  </si>
  <si>
    <t xml:space="preserve">7612150192031450    </t>
  </si>
  <si>
    <t>7612150192031450 LIMPIEZA DE TANQUES</t>
  </si>
  <si>
    <t xml:space="preserve">7818150792104013    </t>
  </si>
  <si>
    <t>10805</t>
  </si>
  <si>
    <t>7818150792104013 MANTENIMIENTO PREVENTIVO Y CORRECTIVO DE VEHICULOS</t>
  </si>
  <si>
    <t xml:space="preserve">7818150892198381    </t>
  </si>
  <si>
    <t>7818150892198381 REPARACION Y SUMINISTRO DE REPUESTOS PARA VEHICULO</t>
  </si>
  <si>
    <t xml:space="preserve">8311199992022776 MANTENIMIENTO PREVENTIVO Y CORRECTIVO DE EQUIPO DE COMUNICACION </t>
  </si>
  <si>
    <t>Servicios Campo Terrestre</t>
  </si>
  <si>
    <t xml:space="preserve">10804150000001      </t>
  </si>
  <si>
    <t>10804</t>
  </si>
  <si>
    <t>10804-150-000001 MANTENIMIENTO PREVENTIVO Y CORRECTIVO DE PLANTAS ELECTRICAS</t>
  </si>
  <si>
    <t xml:space="preserve">7315210892159630    </t>
  </si>
  <si>
    <t>7315210892159630 CONTRATO MANTENIMIENTO Y REPARACION DE MAQUINARIA</t>
  </si>
  <si>
    <t xml:space="preserve">7818150892081360    </t>
  </si>
  <si>
    <t>7818150892081360 REPARACION DE TODO TIPO DE MAQUINARIA DE PRODUCCION</t>
  </si>
  <si>
    <t xml:space="preserve">7818150892150950    </t>
  </si>
  <si>
    <t>7818150892150950 MANTENIMIENTO PREVENTIVO Y CORRECTIVO DE TRACTOR</t>
  </si>
  <si>
    <t>TOTALES PARA EL ÁREA INFRAEST MANT. ADMINISTRACIÓN GENERAL</t>
  </si>
  <si>
    <t xml:space="preserve">31306     </t>
  </si>
  <si>
    <t>INFRAEST MANT. AERÓDROMOS</t>
  </si>
  <si>
    <t xml:space="preserve">7210151692049560    </t>
  </si>
  <si>
    <t>7210151692049560 MANTENIMIENTO DE EXTINTORES DE INCENDIO</t>
  </si>
  <si>
    <t xml:space="preserve">10406205000060      </t>
  </si>
  <si>
    <t>10406-205-000060 SERVICIO DE MANTENIMIENTO DE ZONAS VERDES Y JARDINES</t>
  </si>
  <si>
    <t xml:space="preserve">10804150080705      </t>
  </si>
  <si>
    <t>10804-150-080705 MANTENIMIENTO PREVENTIVO Y CORRECTIVO DE PLANTA ELECTRICA</t>
  </si>
  <si>
    <t xml:space="preserve">7011150392055907    </t>
  </si>
  <si>
    <t>7011150392055907 SERVICIO DE PODA Y CORTA DE ARBOLES</t>
  </si>
  <si>
    <t xml:space="preserve">7210290592010531    </t>
  </si>
  <si>
    <t>7210290592010531 SERVICIO DE ELIMINACION MALEZA EN AEROPUERTOS</t>
  </si>
  <si>
    <t xml:space="preserve">7315999792013590    </t>
  </si>
  <si>
    <t>7315999792013590 ALQUILER DE VAGONETAS</t>
  </si>
  <si>
    <t>7612150192031450 SERVICIO DE LIMPIEZA DE TANQUES SEPTICOS</t>
  </si>
  <si>
    <t>TOTALES PARA EL ÁREA INFRAEST MANT. AERÓDROMOS</t>
  </si>
  <si>
    <t xml:space="preserve">31303     </t>
  </si>
  <si>
    <t>INFRAEST MANT. AIDOQ</t>
  </si>
  <si>
    <t xml:space="preserve">7215403292005680    </t>
  </si>
  <si>
    <t>7215403292005680 MANTENIMIENTO PREVENTIVO Y CORRECTIVO DE PARARRAYO</t>
  </si>
  <si>
    <t xml:space="preserve">7215403292028450    </t>
  </si>
  <si>
    <t>7215403292028450 MANTENIMIENTO DE MARCO DETECTOR METALES</t>
  </si>
  <si>
    <t xml:space="preserve">7215403892150370    </t>
  </si>
  <si>
    <t>7215403892150370 MANTENIMIENTO DE EQUIPO DE RAYOS X</t>
  </si>
  <si>
    <t xml:space="preserve">10802030000005      </t>
  </si>
  <si>
    <t>10802-030-000005 MANTENIMIENTO Y REPARACION DE PISTA AEROPUERTO</t>
  </si>
  <si>
    <t>10804150080705 MANTENTIMIENTO Y/O REPARACION PLANTAS ELECTRICAS</t>
  </si>
  <si>
    <t xml:space="preserve">7215180292083400    </t>
  </si>
  <si>
    <t>7215180292083400 REPARACION DE BOMBA DE AGUA</t>
  </si>
  <si>
    <t>7818150892081360 MANTENIMIENTO PREVENTIVO Y CORRECTIVO DE MAQUINARIA PESADA Y DE PRODUCCION</t>
  </si>
  <si>
    <t>7818150892150950 SERVICIO DE DIAGNOSTICO Y REPARACION DE TRACTOR</t>
  </si>
  <si>
    <t>TOTALES PARA EL ÁREA INFRAEST MANT. AIDOQ</t>
  </si>
  <si>
    <t xml:space="preserve">31302     </t>
  </si>
  <si>
    <t>INFRAEST MANT. AIJS</t>
  </si>
  <si>
    <t>TOTALES PARA EL ÁREA INFRAEST MANT. AIJS</t>
  </si>
  <si>
    <t xml:space="preserve">31305     </t>
  </si>
  <si>
    <t>INFRAEST MANT. AIL</t>
  </si>
  <si>
    <t xml:space="preserve">7315210892028610    </t>
  </si>
  <si>
    <t>7315210892028610 MANTENIMIENTO O REPARACION TRANSFORMADORES ELECTRICOS</t>
  </si>
  <si>
    <t>TOTALES PARA EL ÁREA INFRAEST MANT. AIL</t>
  </si>
  <si>
    <t xml:space="preserve">31304     </t>
  </si>
  <si>
    <t>INFRAEST MANT. AITB</t>
  </si>
  <si>
    <t>TOTALES PARA EL ÁREA INFRAEST MANT. AITB</t>
  </si>
  <si>
    <t xml:space="preserve">33001     </t>
  </si>
  <si>
    <t>TOTALES PARA EL ÁREA INFRAESTRUCTURA ADMINISTRACIÓN GENERAL</t>
  </si>
  <si>
    <t xml:space="preserve">33006     </t>
  </si>
  <si>
    <t>INFRAESTRUCTURA AERÓDROMOS</t>
  </si>
  <si>
    <t>TOTALES PARA EL ÁREA INFRAESTRUCTURA AERÓDROMOS</t>
  </si>
  <si>
    <t>8110150592099161 CONSULTORIA O ASESORIA EN INGENIERIA (ETAPA 2 ANALISIS DE RESULTADOS ESTUDIO DEL PCN EN EL AIDOQ)</t>
  </si>
  <si>
    <t xml:space="preserve">33003     </t>
  </si>
  <si>
    <t>TOTALES PARA EL ÁREA INFRAESTRUCTURA AIDOQ</t>
  </si>
  <si>
    <t>8110150592099161 CONSULTORIA O ASESORIA EN INGENIERIA CIVIL</t>
  </si>
  <si>
    <t xml:space="preserve">33005     </t>
  </si>
  <si>
    <t>INFRAESTRUCTURA AIL</t>
  </si>
  <si>
    <t>TOTALES PARA EL ÁREA INFRAESTRUCTURA AIL</t>
  </si>
  <si>
    <t xml:space="preserve">10301001000080      </t>
  </si>
  <si>
    <t>10301-001-000080 SERVICIO DE PUBLICACION EN EL DIARIO OFICIAL LA GACETA</t>
  </si>
  <si>
    <t xml:space="preserve">1110201   </t>
  </si>
  <si>
    <t>LICENCIAS ADMINISTRACIÓN GENERAL</t>
  </si>
  <si>
    <t>TOTALES PARA EL ÁREA LICENCIAS ADMINISTRACIÓN GENERAL</t>
  </si>
  <si>
    <t xml:space="preserve">22202     </t>
  </si>
  <si>
    <t>ORGANO FISCALIZADOR AIJS</t>
  </si>
  <si>
    <t>7215360692029882 SERVICIO REPARACION DE MOBILIARIO DE OFICINA</t>
  </si>
  <si>
    <t>7215406692045500 SERVICIO DE MANTENIMIENTO, REPARACION Y LIMPIEZA DE MAQUINA DESTRUCTURA DE PAPEL</t>
  </si>
  <si>
    <t>7315210692014856 SERVICIO REPARACION DE MICROONDAS</t>
  </si>
  <si>
    <t>7315219892015454 SERVICIO REPARACION Y/O MANTENIMIENTO DE REFRIGERADORAS</t>
  </si>
  <si>
    <t xml:space="preserve">7611150592100783    </t>
  </si>
  <si>
    <t>7611150592100783 LAVADO DE ALFOMBRA Y/O MUEBLE</t>
  </si>
  <si>
    <t xml:space="preserve">8114150492008518    </t>
  </si>
  <si>
    <t>8114150492008518 SERVICIO DE CALIBRACION EQUIPO LABORATORIO</t>
  </si>
  <si>
    <t>TOTALES PARA EL ÁREA ORGANO FISCALIZADOR AIJS</t>
  </si>
  <si>
    <t xml:space="preserve">2231101   </t>
  </si>
  <si>
    <t>PLANIFICACIÓN ADMINISTRACIÓN GENERAL</t>
  </si>
  <si>
    <t>TOTALES PARA EL ÁREA PLANIFICACIÓN ADMINISTRACIÓN GENERAL</t>
  </si>
  <si>
    <t>10301-001-000010 SERVICIO DE PUBLICACION EN EL DIARIO LA GACETA</t>
  </si>
  <si>
    <t xml:space="preserve">2231301   </t>
  </si>
  <si>
    <t>PROVEEDURIA INSTITUCIONAL ADM</t>
  </si>
  <si>
    <t xml:space="preserve">10404001000005      </t>
  </si>
  <si>
    <t>10404-001-000005 CONSULTORIA O ASESORIA EN INVENTARIOS</t>
  </si>
  <si>
    <t>TOTALES PARA EL ÁREA PROVEEDURIA INSTITUCIONAL ADM</t>
  </si>
  <si>
    <t>8411160192000968 AUDITORIA EXTERNA</t>
  </si>
  <si>
    <t xml:space="preserve">2230901   </t>
  </si>
  <si>
    <t>TOTALES PARA EL ÁREA REC. FINANCIERO ADMINISTRACIÓN GENERAL</t>
  </si>
  <si>
    <t xml:space="preserve">22702     </t>
  </si>
  <si>
    <t>SALON DIPLOMATICO AIJS</t>
  </si>
  <si>
    <t>8311199892096333 SERVICIOS DE ALQUILER DE RADIOFRECUENCIAS</t>
  </si>
  <si>
    <t>9099110192086283 SERVICIO DE ALQUILER O ARRENDAMIENTO DE EQUIPOS DE FILTRACION Y PURIFICACION DE AGUA PARA CONSUMO HUMANO (OTROS ALQUILERES)</t>
  </si>
  <si>
    <t>TOTALES PARA EL ÁREA SALON DIPLOMATICO AIJS</t>
  </si>
  <si>
    <t>8210180292005363 SERVICIO DE PUBLICACION EN EL DIARIO LA GACETA</t>
  </si>
  <si>
    <t xml:space="preserve">1111201   </t>
  </si>
  <si>
    <t>SEGURIDAD OPERACIONAL ADMINISTRACIÓN GENERAL</t>
  </si>
  <si>
    <t>TOTALES PARA EL ÁREA SEGURIDAD OPERACIONAL ADMINISTRACIÓN GENERAL</t>
  </si>
  <si>
    <t xml:space="preserve">10499900000080      </t>
  </si>
  <si>
    <t>10499900000080 SERVICIO DE TOMA DE DATOS CON GPS</t>
  </si>
  <si>
    <t xml:space="preserve">2230701   </t>
  </si>
  <si>
    <t xml:space="preserve">7610150392071514    </t>
  </si>
  <si>
    <t>7610150392071514 ALQUILER DE AROMATIZADORES</t>
  </si>
  <si>
    <t>8210180292005363 SERVICIO DE INFORMACION (SUSCRIPCION DE PERIODICO)</t>
  </si>
  <si>
    <t xml:space="preserve">7810220292154957    </t>
  </si>
  <si>
    <t>10203</t>
  </si>
  <si>
    <t>7810220292154957 SERVICIO DE CORREO (CONTRATO MARCO)</t>
  </si>
  <si>
    <t xml:space="preserve">9315169992002250    </t>
  </si>
  <si>
    <t>9315169992002250 PAGO DE MARCHAMO-DERECHO DE CIRCULACION</t>
  </si>
  <si>
    <t>TOTALES PARA EL ÁREA SERVICIOS GENERALES ADMINISTRACIÓN GENERAL</t>
  </si>
  <si>
    <t>10301-001-000010 SERVICIO DE NOTICIAS DIARIO OFICIAL LA GACETA</t>
  </si>
  <si>
    <t xml:space="preserve">1110801   </t>
  </si>
  <si>
    <t>SUPERVISIÓN DE AERODROMOS ADM</t>
  </si>
  <si>
    <t>TOTALES PARA EL ÁREA SUPERVISIÓN DE AERODROMOS ADM</t>
  </si>
  <si>
    <t>7315210692014856 SERVICIO DE MANTENIMIENTO PARA MICROONDAS</t>
  </si>
  <si>
    <t xml:space="preserve">1111101   </t>
  </si>
  <si>
    <t xml:space="preserve">TRANSPORTE AEREO ADM </t>
  </si>
  <si>
    <t xml:space="preserve">TOTALES PARA EL ÁREA TRANSPORTE AEREO ADM </t>
  </si>
  <si>
    <t xml:space="preserve">10103005000001      </t>
  </si>
  <si>
    <t>10103</t>
  </si>
  <si>
    <t>10103-005-000001 ALQUILER DE EQUIPO DE COMPUTO</t>
  </si>
  <si>
    <t xml:space="preserve">22601     </t>
  </si>
  <si>
    <t>UNIDAD DE TI ADMINISTRACIÓN GENERAL</t>
  </si>
  <si>
    <t xml:space="preserve">10103005003000      </t>
  </si>
  <si>
    <t>10103-005-003000 ALQUILER DE IMPRESORA LASER</t>
  </si>
  <si>
    <t xml:space="preserve">10307900141001      </t>
  </si>
  <si>
    <t>10307-900-141001 SERVICIO DE ALMACENAMIENTO Y ADMINISTRACION DE CORE</t>
  </si>
  <si>
    <t xml:space="preserve">10803900000005      </t>
  </si>
  <si>
    <t>10803</t>
  </si>
  <si>
    <t>10803-900-000005 MANTENIMIENTO PREVENTIVO Y CORRECTIVO CABLEADO ESTRUCTURADO INSTITUCIONAL</t>
  </si>
  <si>
    <t xml:space="preserve">10808900000010      </t>
  </si>
  <si>
    <t>10808-900-000010 MANTENIMIENTO PREVENTIVO Y CORRECTIVO DE SISTEMAS ECO FIRMA</t>
  </si>
  <si>
    <t>10808-900-000010 MANTENIMIENTO PREVENTIVO Y CORRECTIVO DE SISTEMAS EPOWER</t>
  </si>
  <si>
    <t>10808-900-000010 MANTENIMIENTO PREVENTIVO Y CORRECTIVO DE SISTEMAS FACTURACION</t>
  </si>
  <si>
    <t>10808-900-000010 MANTENIMIENTO PREVENTIVO Y CORRECTIVO DE SISTEMAS MICROSOFT</t>
  </si>
  <si>
    <t>10808-900-000010 MANTENIMIENTO PREVENTIVO Y CORRECTIVO DE SISTEMAS SIFCO</t>
  </si>
  <si>
    <t>10808-900-000010 MANTENIMIENTO PREVENTIVO Y CORRECTIVO DE SISTEMAS SIRH</t>
  </si>
  <si>
    <t>10808-900-000010 MANTENIMIENTO PREVENTIVO Y CORRECTIVO DE SISTEMAS SIVARI</t>
  </si>
  <si>
    <t>10808-900-000010 MANTENIMIENTO PREVENTIVO Y CORRECTIVO DE SISTEMAS WEB</t>
  </si>
  <si>
    <t>8111230792020646 SERVICIO DE MANTENIMIENTO Y REPARACION DE EQUIPO DE COMPUTO</t>
  </si>
  <si>
    <t>8116180192104540 SERVICIO DE TRANSFERENCIA ELECTRONICA DE INFORMACION</t>
  </si>
  <si>
    <t>TOTALES PARA EL ÁREA UNIDAD DE TI ADMINISTRACIÓN GENERAL</t>
  </si>
  <si>
    <t>TOTALES GENERALES</t>
  </si>
  <si>
    <t>6034/6037</t>
  </si>
  <si>
    <t>6100/6138</t>
  </si>
  <si>
    <t>6010/6066</t>
  </si>
  <si>
    <t>6122/6046</t>
  </si>
  <si>
    <t>6056/6057/6131/6129</t>
  </si>
  <si>
    <t>6072/6103</t>
  </si>
  <si>
    <t>SERVICIOS GENERALES</t>
  </si>
  <si>
    <t>6028/6125</t>
  </si>
  <si>
    <t xml:space="preserve">31304   </t>
  </si>
  <si>
    <t>6069/6159</t>
  </si>
  <si>
    <t>6109/6160</t>
  </si>
  <si>
    <t>6113/6168</t>
  </si>
  <si>
    <t>6173/Traspaso N°1 Cbolaños</t>
  </si>
  <si>
    <t>ADMINISTRACION DEL ESPACIO ATM  AIJS</t>
  </si>
  <si>
    <t>DISMINUYE</t>
  </si>
  <si>
    <t>RESERVA Y / O TRASPASO</t>
  </si>
  <si>
    <t>10299005000035 RECOLECCION DE RESIDUOS</t>
  </si>
  <si>
    <t>10406900000015</t>
  </si>
  <si>
    <t>10406-900-000015 SERVICIO DE GUARDA DOCUMENTOS</t>
  </si>
  <si>
    <t xml:space="preserve">6178 / Traspaso N°2 Karina </t>
  </si>
  <si>
    <t xml:space="preserve">7210210392047317  </t>
  </si>
  <si>
    <t>Traspaso N°1 Rocio</t>
  </si>
  <si>
    <t>6006/6015/6162</t>
  </si>
  <si>
    <t>FINANCIERO ADMINISTRACIÓN GENERAL</t>
  </si>
  <si>
    <t>6023/6213</t>
  </si>
  <si>
    <t>6175/6074/6187</t>
  </si>
  <si>
    <t>Traspaso</t>
  </si>
  <si>
    <t>Se saca la información del B.O</t>
  </si>
  <si>
    <t>DIRECCION GENERAL ADMINISTRACIÓN GENERAL</t>
  </si>
  <si>
    <t>Traspaso N°04</t>
  </si>
  <si>
    <t>6078 / Traspaso N°04</t>
  </si>
  <si>
    <t>6097 / Traspaso N°5</t>
  </si>
  <si>
    <t>Traspaso N°05</t>
  </si>
  <si>
    <t>Traspaso N°5</t>
  </si>
  <si>
    <t>6113/ Traspaso N°07</t>
  </si>
  <si>
    <t>6034/6067/ Traspaso N°12</t>
  </si>
  <si>
    <t>Traspaso 01</t>
  </si>
  <si>
    <t xml:space="preserve">6083/ traspaso </t>
  </si>
  <si>
    <t>6140 / traspaso 03</t>
  </si>
  <si>
    <t>22202</t>
  </si>
  <si>
    <t xml:space="preserve">	
8613220192125203</t>
  </si>
  <si>
    <t>10701. 8613220192125203 ACTIVIDADES DE CAPACITACION</t>
  </si>
  <si>
    <t>10406-155-000001 LIMPIEZA DE TANQUE SEPTICO</t>
  </si>
  <si>
    <t>6087/Traspaso 01/6236</t>
  </si>
  <si>
    <t>Descripción de la Compra</t>
  </si>
  <si>
    <t xml:space="preserve">Código de Bien/Servicio
</t>
  </si>
  <si>
    <t>AUMENTO</t>
  </si>
  <si>
    <t>Traspaso 05</t>
  </si>
  <si>
    <t> DISPONIBLE DESPUES DE REBAJOS  </t>
  </si>
  <si>
    <t>8613220192125203</t>
  </si>
  <si>
    <t>1140202</t>
  </si>
  <si>
    <t>INFORMACION AERONAUTICA AIM ADMINISTRACIÓN GENERAL</t>
  </si>
  <si>
    <t xml:space="preserve">1110501   </t>
  </si>
  <si>
    <t>TOTALES PARA EL ÁREA BIBLIOTECA TÉCNICA ADMINISTRACIÓN GENERAL</t>
  </si>
  <si>
    <t xml:space="preserve"> BIBLIOTECA TÉCNICA ADMINISTRACIÓN GENERAL</t>
  </si>
  <si>
    <t>TOTALES PARA EL ÁREA CONTRALORIA DE SERVICIOS ADM</t>
  </si>
  <si>
    <t>CONTRALORIA DE SERVICIOS ADM</t>
  </si>
  <si>
    <t xml:space="preserve">22501     </t>
  </si>
  <si>
    <t>TOTALES PARA EL ÁREA INFRAEST AEROPUERTOS  ADMINISTRACIÓN GENERAL</t>
  </si>
  <si>
    <t>INFRAEST AEROPUERTOS  ADMINISTRACIÓN GENERAL</t>
  </si>
  <si>
    <t>TOTALES PARA EL ÁREA OPERACIONES AERONÁUTICAS ADMINISTRACIÓN GENERAL</t>
  </si>
  <si>
    <t>1110101</t>
  </si>
  <si>
    <t>OPERACIONES AERONÁUTICAS ADMINISTRACIÓN GENERAL</t>
  </si>
  <si>
    <t xml:space="preserve">1110103   </t>
  </si>
  <si>
    <t>TOTALES PARA EL ÁREA OPERACIONES AERONÁUTICAS AIDOQ</t>
  </si>
  <si>
    <t>OPERACIONES AERONÁUTICAS AIDOQ</t>
  </si>
  <si>
    <t>TOTALES PARA EL ÁREA OPERACIONES AERONÁUTICAS AIJS</t>
  </si>
  <si>
    <t>OPERACIONES AERONÁUTICAS AIJS</t>
  </si>
  <si>
    <t xml:space="preserve">1110102   </t>
  </si>
  <si>
    <t>TOTALES PARA EL ÁREA OPERACIONES AERONÁUTICAS AITBP</t>
  </si>
  <si>
    <t xml:space="preserve">1110104   </t>
  </si>
  <si>
    <t>OPERACIONES AERONÁUTICAS AITBP</t>
  </si>
  <si>
    <t>TOTALES PARA EL ÁREA SERVICIOS DE NAVEGACION AEREA ADMINISTRACIÓN GENERAL</t>
  </si>
  <si>
    <t xml:space="preserve">1140101   </t>
  </si>
  <si>
    <t>NAVEGACION AEREA ADMINISTRACIÓN GENERAL</t>
  </si>
  <si>
    <t>TOTALES PARA EL ÁREA SSP-SMS SEGURIDAD OPERACIONAL ADMINISTRACIÓN GENERAL</t>
  </si>
  <si>
    <t xml:space="preserve">1110901   </t>
  </si>
  <si>
    <t>SSP-SMS SEGURIDAD OPERACIONAL ADMINISTRACIÓN GENERAL</t>
  </si>
  <si>
    <t xml:space="preserve">    6243/6063/6012/ Traspaso 03</t>
  </si>
  <si>
    <t xml:space="preserve">10701-001-001270 CAPACITACION </t>
  </si>
  <si>
    <t>8613220192125203 ACTIVIDADES DE CAPACITACION (LEY 7600)</t>
  </si>
  <si>
    <t>INFRAESTRUCTURA ADMINISTRACIÓN GENERAL</t>
  </si>
  <si>
    <t xml:space="preserve">8115170392337036    </t>
  </si>
  <si>
    <t xml:space="preserve">8115170592337037    </t>
  </si>
  <si>
    <t xml:space="preserve">8115180492336980    </t>
  </si>
  <si>
    <t xml:space="preserve">8117169992208214    </t>
  </si>
  <si>
    <t>8115170392337036 PROTOCOLO TECNICO PARA EL ESTUDIO GEOLOGICO DEL TERRENO DEL AREA DE PROYECTO (AP)</t>
  </si>
  <si>
    <t>8115170592337037 PROTOCOLO TECNICO PARA EL ESTUDIO ARQUEOLOGICO RAPIDO DEL AREA DE PROYECTO (AP)</t>
  </si>
  <si>
    <t>8115180492336980 ESTUDIO DE HIDROLOGIA BASICA DEL CAUCE DE AGUA MAS CERCANO DE LA MICROCUENCA EN QUE SE LOCALIZA EL AREA DE PROYECTO (AP)</t>
  </si>
  <si>
    <t>TOTALES PARA EL ÁREA SUPERVISION DE NAVEGACION AEREA ADM</t>
  </si>
  <si>
    <t xml:space="preserve">1111001   </t>
  </si>
  <si>
    <t>SUPERVISION DE NAVEGACION AEREA ADM</t>
  </si>
  <si>
    <t xml:space="preserve">7013170292072064    </t>
  </si>
  <si>
    <t>7013170292072064 SERVICIOS PROFESIONALES ESTUDIO DE SUELOS</t>
  </si>
  <si>
    <t xml:space="preserve">3150101   </t>
  </si>
  <si>
    <t>TOTALES PARA EL ÁREA DEPARTAMENTO FINANCIERO ADM ADMINISTRACIÓN GENERAL</t>
  </si>
  <si>
    <t xml:space="preserve">2230601   </t>
  </si>
  <si>
    <t>DEPARTAMENTO FINANCIERO ADM ADMINISTRACIÓN GENERAL</t>
  </si>
  <si>
    <t>TOTALES PARA EL ÁREA ADMINISTRACION DEL ESPACIO ATM  AIDOQ</t>
  </si>
  <si>
    <t xml:space="preserve">1140203   </t>
  </si>
  <si>
    <t>ADMINISTRACION DEL ESPACIO ATM  AIDOQ</t>
  </si>
  <si>
    <t>TOTALES PARA EL ÁREA ADMINISTRACION DEL ESPACIO ATM  AITB</t>
  </si>
  <si>
    <t xml:space="preserve">10299005000035      </t>
  </si>
  <si>
    <t xml:space="preserve">1140204   </t>
  </si>
  <si>
    <t>ADMINISTRACION DEL ESPACIO ATM  AITB</t>
  </si>
  <si>
    <t>9314151092337389 ESTUDIO DE DESCRIPCION DEL AMBIENTE SOCIOECONOMICO</t>
  </si>
  <si>
    <t>Traspaso 08/6154</t>
  </si>
  <si>
    <t>6085/Traspaso 01/03</t>
  </si>
  <si>
    <t>Traspaso 03</t>
  </si>
  <si>
    <t>Traspaso N°05-08-09/ 6154</t>
  </si>
  <si>
    <t>6034/6037 / Traspaso N°12</t>
  </si>
  <si>
    <t>6081/ Traspaso N°08</t>
  </si>
  <si>
    <t>Traspaso N°09/6154</t>
  </si>
  <si>
    <t>Traspaso N°09</t>
  </si>
  <si>
    <t>Traspaso N°12 / traspaso 20</t>
  </si>
  <si>
    <t>6238 / Traspaso 21</t>
  </si>
  <si>
    <t>6151/6255/6246</t>
  </si>
  <si>
    <t>Traspaso de Bolaños /6261</t>
  </si>
  <si>
    <t>INFRAESTRUCTURA AIDOQ</t>
  </si>
  <si>
    <t>8117169992208214 SERVICIOS PROFESIONALES CIENCIAS BIOLOGICAS PARA LA ELABORACION DE PROTOCOLO y NOTA DE BIOLOGIA RAPIDA</t>
  </si>
  <si>
    <t>6133/6245</t>
  </si>
  <si>
    <t>6285/6098/6099/6112/6073/6077/6082/6080/6192/6191 /Traspaso de 2 CB / Traspaso 6 JM / Traspaso 03 KC</t>
  </si>
  <si>
    <t>6257/6258/6311</t>
  </si>
  <si>
    <t>6070/6326</t>
  </si>
  <si>
    <t>6146/6290</t>
  </si>
  <si>
    <t>Traspaso N°20/6323</t>
  </si>
  <si>
    <t>6062/ Traspaso N°8/6251/6331</t>
  </si>
  <si>
    <t>6062 / traspaso N°08 /6251/6331</t>
  </si>
  <si>
    <t>6275/6274/6276/6272</t>
  </si>
  <si>
    <t>8212150392130758 CALCOMANIAS EN ADHESIVO (IMPRESION)</t>
  </si>
  <si>
    <t xml:space="preserve">8111210192083066    </t>
  </si>
  <si>
    <t>10204</t>
  </si>
  <si>
    <t>8111210192083066 SERVICIOS DE TELECOMUNICACIONES</t>
  </si>
  <si>
    <t xml:space="preserve">10503001110601      </t>
  </si>
  <si>
    <t>10503</t>
  </si>
  <si>
    <t>10503001110601 TRASLADO EN EL EXTERIOR</t>
  </si>
  <si>
    <t>6344</t>
  </si>
  <si>
    <t>10503001110601 </t>
  </si>
  <si>
    <t>6068/6157/6174</t>
  </si>
  <si>
    <t>6301/6124/6237/6052/ traspaso N°2 Karina/ información BO</t>
  </si>
  <si>
    <t>6014/6064/6241/6295</t>
  </si>
  <si>
    <t>6029/6009/6235/6294</t>
  </si>
  <si>
    <t>6016/6229/6304</t>
  </si>
  <si>
    <t xml:space="preserve">RESERVADO / EJECUTADO Y / O COMPROMETIDO </t>
  </si>
  <si>
    <t xml:space="preserve">1140302   </t>
  </si>
  <si>
    <t>INFORMACION AERONAUTICA AIM AIJS</t>
  </si>
  <si>
    <t>TOTALES PARA EL ÁREA INFORMACION AERONAUTICA AIM AIJS</t>
  </si>
  <si>
    <t>ASESORIA LEGAL ADMINISTRACIÓN GENERAL</t>
  </si>
  <si>
    <t>6354/6022/6213/ Traspaso N°03 Granados</t>
  </si>
  <si>
    <t>6053/6240/6355</t>
  </si>
  <si>
    <t>6325/6072 / Traspaso N°06 JM</t>
  </si>
  <si>
    <t>/6360/6060/6113/6168/ Traspaso N°07</t>
  </si>
  <si>
    <t>6360/6113/6168 / Traspaso N°07</t>
  </si>
  <si>
    <t>6113/6360</t>
  </si>
  <si>
    <t>6113/6168/6360</t>
  </si>
  <si>
    <t>6101/6114/6116/6117/6118/6119/6102/6171/6172/6170/6361/6349/6364/6363</t>
  </si>
  <si>
    <t>6062/ Traspaso N°08/ Información B.O.</t>
  </si>
  <si>
    <t xml:space="preserve">10807020000010      </t>
  </si>
  <si>
    <t>10807-020-000010 CONTRATO MANTENIMIENTO Y REPARACIÓN DE MOBILIARIO</t>
  </si>
  <si>
    <t>6086/ traspaso /BO</t>
  </si>
  <si>
    <t>Traspaso N°12/6253/6395</t>
  </si>
  <si>
    <t>6253/6395</t>
  </si>
  <si>
    <t>6079/6253/6395</t>
  </si>
  <si>
    <t>REBAJO POR RESERVAS</t>
  </si>
  <si>
    <t>Activos Fijos</t>
  </si>
  <si>
    <t>50105</t>
  </si>
  <si>
    <t>50105-130-000045 ESCANER</t>
  </si>
  <si>
    <t>Mediante BO</t>
  </si>
  <si>
    <t>59903</t>
  </si>
  <si>
    <t>59903 BIENES INTANGIBLES</t>
  </si>
  <si>
    <t>traspaso</t>
  </si>
  <si>
    <t>50199</t>
  </si>
  <si>
    <t>50199 MICROONDAS - COMEDOR</t>
  </si>
  <si>
    <t>50199 MICROONDAS - DFA</t>
  </si>
  <si>
    <t>50199 REFRIGERADORA COMEDOR</t>
  </si>
  <si>
    <t>50199 REFRIGERADORA DFA</t>
  </si>
  <si>
    <t>50103</t>
  </si>
  <si>
    <t>50103-010-000100 RADIO DE COMUNICACION</t>
  </si>
  <si>
    <t xml:space="preserve">Traspaso </t>
  </si>
  <si>
    <t>50106</t>
  </si>
  <si>
    <t>4219221092090972 SILLA DE RUEDAS</t>
  </si>
  <si>
    <t>5214150192065477 REFRIGERADORA</t>
  </si>
  <si>
    <t>5214152692102583 COFFEE MAKER ELECTRICO</t>
  </si>
  <si>
    <t>4319151092150901 RADIO DE COMUNICACION PORTATIL</t>
  </si>
  <si>
    <t>Traspaso/Mediante B.O</t>
  </si>
  <si>
    <t>50199305000200 MARCOS Y DETECTORES MANUALES DE METAL</t>
  </si>
  <si>
    <t>50199 LOCKER</t>
  </si>
  <si>
    <t>50101</t>
  </si>
  <si>
    <t>4712180592036461 HIDROLAVADORA (USO INDUSTRIAL)</t>
  </si>
  <si>
    <t>50101-040-000001 EQUIPO PARA PINTAR</t>
  </si>
  <si>
    <t>50101-900-000295 TRITURADORAS USO INDUSTRIAL</t>
  </si>
  <si>
    <t>4111290192090364 INCLINOMETRO</t>
  </si>
  <si>
    <t>4712160292106524 ASPIRADORA PARA VEHICULO</t>
  </si>
  <si>
    <t>50199-900-004010 MOTOGUADAÑA</t>
  </si>
  <si>
    <t>50199-900-100301 SOPLADORA DE MOTOR</t>
  </si>
  <si>
    <t>5214150192065477 REFRIGERADORA USO DOMESTICO</t>
  </si>
  <si>
    <t>5214150292034361 HORNO DE MICROONDAS</t>
  </si>
  <si>
    <t>Construcciones Adiciones y Mejoras</t>
  </si>
  <si>
    <t xml:space="preserve">50201001            </t>
  </si>
  <si>
    <t>50201</t>
  </si>
  <si>
    <t>50201 MEJORAMIENTO DE EDIFICIOS OFICINAS CENTRALES</t>
  </si>
  <si>
    <t xml:space="preserve">50201005            </t>
  </si>
  <si>
    <t>50201 MEJORAMIENTO DE EDIFICIOS AERODROMOS</t>
  </si>
  <si>
    <t>50104</t>
  </si>
  <si>
    <t>7210151190032391 AIRE ACONDICIONADO</t>
  </si>
  <si>
    <t>50199-900-005000 EQUIPO DIVERSO: PROYECTO SISTEMA REMOTO DE ENCENDIDO DE LUCES</t>
  </si>
  <si>
    <t>50201 MEJORAMIENTO DE EDIFICIOS AIDOQ LIBERIA</t>
  </si>
  <si>
    <t>6203/Traspaso</t>
  </si>
  <si>
    <t>50201 MEJORAMIENTO DE EDIFICIOS AITBP PAVAS</t>
  </si>
  <si>
    <t>50199 REFRIGERADORA</t>
  </si>
  <si>
    <t xml:space="preserve">3230801   </t>
  </si>
  <si>
    <t>INFRAEST REC. HUMANOS ADMINISTRACIÓN GENERAL</t>
  </si>
  <si>
    <t>TOTALES PARA EL ÁREA INFRAEST REC. HUMANOS ADMINISTRACIÓN GENERAL</t>
  </si>
  <si>
    <t>50199-CONTENIDO POR FALTA DE CODIGO DE MIDEPLAN EN PROYECTOS</t>
  </si>
  <si>
    <t xml:space="preserve">50205001            </t>
  </si>
  <si>
    <t>50205</t>
  </si>
  <si>
    <t>50205 PROYECTOS AEROP. INTL. DANIEL ODUBER QUIROS LIBERIA</t>
  </si>
  <si>
    <t>TERRENOS</t>
  </si>
  <si>
    <t>50301</t>
  </si>
  <si>
    <t>AG50301001000001 ADQUISICION DE TERRENOS</t>
  </si>
  <si>
    <t>50205 Consultoría para la Verificación de Calidad- Mejoramiento de la Plataforma de Estacionamiento de Aeronaves en la posición N°9 del Aeropuerto Internacional Daniel Oduber Quiros</t>
  </si>
  <si>
    <t>50205 OBRA ACUEDUCTOS AIDOQ</t>
  </si>
  <si>
    <t>Mediante BO/Traspaso</t>
  </si>
  <si>
    <t>50205 VERIFICACION DE CALIDAD AIDOQ - TOPOGRAFIA</t>
  </si>
  <si>
    <t>50201-001 CONSTRUCCION TERMINAL AIL, SEGURIDAD Y VIGILANCIA AEREA SVA</t>
  </si>
  <si>
    <t>50199 MICROONDAS</t>
  </si>
  <si>
    <t>50103-900-001900 AUDIFONO (EQUIPO COMUNICACION) DIADEMA TELEFONICA</t>
  </si>
  <si>
    <t>50104-900-000025 ESTACION DE TRABAJO (MOBILIARIO DE OFICINA)</t>
  </si>
  <si>
    <t>REC. FINANCIERO ADMINISTRACIÓN GENERAL</t>
  </si>
  <si>
    <t>50103-010-000160 RADIO TRANSCEPTOR-SISTEMA DE FRECUENCIAS PARA COMUNICACION AIRETIERRA</t>
  </si>
  <si>
    <t>SERVICIOS DE NAVEGACION AEREA ADMINISTRACIÓN GENERAL</t>
  </si>
  <si>
    <t>50103-900-001715 CASCO OPERADORA (AURICULAR-MICROFONO-OREJERAS)</t>
  </si>
  <si>
    <t>50103-900-001750 PARLANTE PARA MULTIMEDIA</t>
  </si>
  <si>
    <t>50104-015-000300 MESA DE POSTE</t>
  </si>
  <si>
    <t>59903-005-090201 ACTUALIZACION LICENCIAS DE SOFTWARE</t>
  </si>
  <si>
    <t>59903 - Actualización del sistema financiero SIFCO</t>
  </si>
  <si>
    <t>59903 ACTUALIZACION LICENCIAS DE SOFTWARE</t>
  </si>
  <si>
    <t>59903 ACTUALIZACION SIFCO</t>
  </si>
  <si>
    <t>59903 Sistema de Facturación</t>
  </si>
  <si>
    <t xml:space="preserve">50201900            </t>
  </si>
  <si>
    <t>50201-900 INSTALACIONES DE CABLEADO ESTRUCTURADO PARA TELECOMUNICACIONES (OFICINAS CENTRALES)</t>
  </si>
  <si>
    <t>50201-900 INSTALACIONES DE CABLEADO ESTRUCTURADO PARA TELECOMUNICACIONES (AITBP PAVAS)</t>
  </si>
  <si>
    <t xml:space="preserve">22604     </t>
  </si>
  <si>
    <t>UNIDAD DE TI AITBP</t>
  </si>
  <si>
    <t>TOTALES PARA EL ÁREA UNIDAD DE TI AITBP</t>
  </si>
  <si>
    <t>Traspaso N°1 / 6347/ Mediante BO</t>
  </si>
  <si>
    <t>6051/6049/Traspaso N°1 / Mediante BO</t>
  </si>
  <si>
    <t>6165/6164/6166/6163/6204                        Traspaso N02 / 03 CB /Mediante BO</t>
  </si>
  <si>
    <t>6076 / Mediante BO</t>
  </si>
  <si>
    <t>6021 / Mediante BO  /6342</t>
  </si>
  <si>
    <t>6108 /Mediante BO</t>
  </si>
  <si>
    <t>6182/6181/6225/6227 / Mediante BO</t>
  </si>
  <si>
    <t>6126/ Mediante BO</t>
  </si>
  <si>
    <t xml:space="preserve">6011/6121 /Traspaso </t>
  </si>
  <si>
    <t>6013/6123 / Mediante BO</t>
  </si>
  <si>
    <t>6062 / Mediante BO / 6331</t>
  </si>
  <si>
    <t>6020 Traspaso N°1 / Mediante BO / 6378</t>
  </si>
  <si>
    <t>6020 / Traspaso N°1-/Mediante BO/6378</t>
  </si>
  <si>
    <t>6289/ Mediante BO</t>
  </si>
  <si>
    <t>6004 / Mediante BO</t>
  </si>
  <si>
    <t>6061 /  Mediante BO</t>
  </si>
  <si>
    <t>Mediante BO/ 6291</t>
  </si>
  <si>
    <t>6089/6044/Mediante BO</t>
  </si>
  <si>
    <t>6045 / Mediante BO</t>
  </si>
  <si>
    <t>Mediante BO/6339</t>
  </si>
  <si>
    <t>6033/6149/ Mediante BO</t>
  </si>
  <si>
    <t>6031/6026/ Mediante BO</t>
  </si>
  <si>
    <t>6145/6041/6042/6120/ Traspaso 02/Mediante BO</t>
  </si>
  <si>
    <t>6019/6025/6024/Mediante BO</t>
  </si>
  <si>
    <t>6090/ Mediante BO</t>
  </si>
  <si>
    <t>6039/6038/Traspaso N°1 /3 / Mediante BO</t>
  </si>
  <si>
    <t>6036/6035/6244/6343/Mediante BO</t>
  </si>
  <si>
    <t xml:space="preserve">Codigo de Bien/Servicio
</t>
  </si>
  <si>
    <t>Descripción del la Compra</t>
  </si>
  <si>
    <t>Aumento  (Traspaso)</t>
  </si>
  <si>
    <t>Disminuye (Traspaso)</t>
  </si>
  <si>
    <t>Rebajo por reservas</t>
  </si>
  <si>
    <t xml:space="preserve">DISPONIBLE </t>
  </si>
  <si>
    <t>Disponible después de rebajos y/o traspasos</t>
  </si>
  <si>
    <t>Reserva y/o Traspaso</t>
  </si>
  <si>
    <t>Suministros</t>
  </si>
  <si>
    <t>1411150792134384</t>
  </si>
  <si>
    <t>29903</t>
  </si>
  <si>
    <t>1411150792134384 PAPEL BOND BLANCO 75 GRS TAMAÑO CARTA</t>
  </si>
  <si>
    <t>1411151492030256</t>
  </si>
  <si>
    <t>1411151492030256 LIBRETAS PARA TAQUIGRAFIA, DE 80 HOJAS</t>
  </si>
  <si>
    <t>1411180892126020</t>
  </si>
  <si>
    <t>1411180892126020 LIBROS DE ACTAS, DE 200 FOLIOS</t>
  </si>
  <si>
    <t xml:space="preserve">20401450000180  </t>
  </si>
  <si>
    <t>20401</t>
  </si>
  <si>
    <t>20401-450-000180 FILTRO DE REEMPLAZO PARA MASCARILLA</t>
  </si>
  <si>
    <t>2611170292057478</t>
  </si>
  <si>
    <t>29999</t>
  </si>
  <si>
    <t>2611170292057478 BATERIA SECA, ALKALINA VOLTAJE DE 1.5 V, TIPO D</t>
  </si>
  <si>
    <t>2611170292124304</t>
  </si>
  <si>
    <t>2611170292124304 BATERIA ALCALINA TIPO AA</t>
  </si>
  <si>
    <t>2611170292124305</t>
  </si>
  <si>
    <t>2611170292124305 BATERIA ALCALINA TIPO AAA</t>
  </si>
  <si>
    <t xml:space="preserve">29901015100016  </t>
  </si>
  <si>
    <t>29901</t>
  </si>
  <si>
    <t>29901-015-100016 BOLIGRAFO TINTA GEL COLOR AZUL</t>
  </si>
  <si>
    <t xml:space="preserve">29901065000300  </t>
  </si>
  <si>
    <t>29901-065-000300 GOMA TIPO LAPIZ ADHESIVO</t>
  </si>
  <si>
    <t xml:space="preserve">29901900001101  </t>
  </si>
  <si>
    <t>29901-900-001101 PORTAFOLIO DE 3" PULGADAS Y 3 ARGOLLAS</t>
  </si>
  <si>
    <t xml:space="preserve">29901900121101  </t>
  </si>
  <si>
    <t>29901-900-121101 PLASTICO PARA USO EN OFICINA O AFIN</t>
  </si>
  <si>
    <t>3120151792125823</t>
  </si>
  <si>
    <t>3120151792125823 CINTA ADHESIVA PARA EMPAQUE CAFE O TRANSPARENTE</t>
  </si>
  <si>
    <t>4213220592005822</t>
  </si>
  <si>
    <t>29902</t>
  </si>
  <si>
    <t>4213220592005822 GUANTES PARA USO DE LABORATORIO</t>
  </si>
  <si>
    <t>4213220592156090</t>
  </si>
  <si>
    <t>4213220592156090 GUANTES ESTERILIZADOS, 7 1/2</t>
  </si>
  <si>
    <t>4320182492125689</t>
  </si>
  <si>
    <t>4320182492125689 DISPOSITIVO DE ALMACENAMIENTO USB (LLAVES MAYAS)</t>
  </si>
  <si>
    <t>4412162292125806</t>
  </si>
  <si>
    <t>4412162292125806 HUMEDECEDOR DE DEDOS</t>
  </si>
  <si>
    <t>4412201192126041</t>
  </si>
  <si>
    <t>4412201192126041 CARPETAS DE MANILA TAMAÑO CARTA, COLOR AMARILLO NATURAL, CAJA DE  100 UNIDADES</t>
  </si>
  <si>
    <t>4412210492125802</t>
  </si>
  <si>
    <t>4412210492125802 CLIP Nº 1 (33MM) CON RECUBRIMIENTO PLASTICO (100 CLIPS X CAJA)</t>
  </si>
  <si>
    <t>4618150392008083</t>
  </si>
  <si>
    <t>29906</t>
  </si>
  <si>
    <t>4618150392008083 TRAJE PROTECTOR</t>
  </si>
  <si>
    <t>4618150692168085</t>
  </si>
  <si>
    <t>4618150692168085 PONCHO PROTECTOR 4 FUNCIONES RESISTENTE AL AGUA Y FUEGO</t>
  </si>
  <si>
    <t>4618200192071894</t>
  </si>
  <si>
    <t>4618200192071894 MASCARA CON FILTRO DE AIRE</t>
  </si>
  <si>
    <t>4712170190038597</t>
  </si>
  <si>
    <t>29905</t>
  </si>
  <si>
    <t>4712170190038597 BOLSA PARA BASURA, TIPO JARDIN</t>
  </si>
  <si>
    <t>4713182190014846</t>
  </si>
  <si>
    <t>20199</t>
  </si>
  <si>
    <t>4713182190014846 DESENGRASANTE LÍQUIDO PARA TRABAJO PESADO</t>
  </si>
  <si>
    <t>5147190192056766</t>
  </si>
  <si>
    <t>20102</t>
  </si>
  <si>
    <t>5147190192056766 ALCOHOL ISOPROPILICO DE 90°</t>
  </si>
  <si>
    <t>5147301692047830</t>
  </si>
  <si>
    <t>5147301692047830 ALCOHOL EN GEL</t>
  </si>
  <si>
    <t>5310319992079963</t>
  </si>
  <si>
    <t>5310319992079963 CHALECO REFLECTIVO DE SEGURIDAD</t>
  </si>
  <si>
    <t>Suministros Campo Aéreo</t>
  </si>
  <si>
    <t>ADMINISTRACION DEL ESPACIO ATM  AIJS</t>
  </si>
  <si>
    <t>1411170392031257</t>
  </si>
  <si>
    <t>1411170392031257 TOALLAS DESECHABLES DE PAPEL</t>
  </si>
  <si>
    <t>1411170490032316</t>
  </si>
  <si>
    <t>1411170490032316 TOALLAS INTERFOLIADAS PARA DISPENSADOR</t>
  </si>
  <si>
    <t>1411170492002460</t>
  </si>
  <si>
    <t>1411170492002460 PAPEL HIGIENICO TIPO JUMBO (DISPENSADOR)</t>
  </si>
  <si>
    <t>3120150392018002</t>
  </si>
  <si>
    <t>3120150392018002 CINTA ADHESIVA MASKING TAPE DE 5.08 CMS= 2"</t>
  </si>
  <si>
    <t>3120151290002643</t>
  </si>
  <si>
    <t>3120151290002643 CINTA ADHESIVA PLASTICA MAGICA DE 18 MM X 33 MTS</t>
  </si>
  <si>
    <t>3120151292125822</t>
  </si>
  <si>
    <t>3120151292125822 CINTA ADHESIVA MAGICA, DE 1.27 CMS</t>
  </si>
  <si>
    <t>4411191292120890</t>
  </si>
  <si>
    <t>4411191292120890 BORRADOR PARA PIZARRA ACRILICA</t>
  </si>
  <si>
    <t>4412170492068330</t>
  </si>
  <si>
    <t>4412170492068330 BOLIGRAFO COLOR AZUL X UNIDADES</t>
  </si>
  <si>
    <t>4412170492068331</t>
  </si>
  <si>
    <t>4412170492068331 BOLIGRAFOS COLOR NEGROS (CAJAS DE 12 UNIDADES)</t>
  </si>
  <si>
    <t>4412170692125808</t>
  </si>
  <si>
    <t>4412170692125808 LAPIZ DE ESCRIBIR, DE MADERA # 2HB</t>
  </si>
  <si>
    <t>4412180492120891</t>
  </si>
  <si>
    <t>4412180492120891 BORRADOR P/LAPIZ DE GRAFITO</t>
  </si>
  <si>
    <t>4412202392078347</t>
  </si>
  <si>
    <t>4412202392078347 PORTAFOLIO DE TAMAÑO 2 PULGADAS</t>
  </si>
  <si>
    <t>4412202392078350</t>
  </si>
  <si>
    <t>4412202392078350 PORTAFOLIO DE TAMAÑO 1</t>
  </si>
  <si>
    <t>4412202392125997</t>
  </si>
  <si>
    <t>4412202392125997 PORTAFOLIO 3 PULGADAS ARGOLLAS TAMAÑO CARTA</t>
  </si>
  <si>
    <t>4713181690007534</t>
  </si>
  <si>
    <t>4713181690007534 DESODORANTE DE ORINAL MALLA PLASTICA</t>
  </si>
  <si>
    <t>5313160892027412</t>
  </si>
  <si>
    <t>5313160892027412 JABON LIQUIDO BACTERICIDA PARA MANOS EN GALON</t>
  </si>
  <si>
    <t>1411150792125991</t>
  </si>
  <si>
    <t>1411150792125991 PAPEL KIMBERLY DE 21.59 X 27.94 CMS BLANCO</t>
  </si>
  <si>
    <t>1411151992093072</t>
  </si>
  <si>
    <t>1411151992093072 CARTULINA BRISTOL, COLOR BLANCO TAMAÑO CARTA</t>
  </si>
  <si>
    <t>1411153092126014</t>
  </si>
  <si>
    <t>1411153092126014 BLOCK DE NOTAS ADHESIVAS NEON-QUITA Y PONE 5 COLORES 75mm X 75mm</t>
  </si>
  <si>
    <t>1411153092160594</t>
  </si>
  <si>
    <t>1411153092160594 BLOCK DE 4 COLORES NOTAS ADHESIVAS QUITA Y PON 75mm X 75mm</t>
  </si>
  <si>
    <t xml:space="preserve">20104900000010  </t>
  </si>
  <si>
    <t>20104</t>
  </si>
  <si>
    <t>20104-900-000010 CONTRATO DE TINTAS Y TONNER (CONTRATO MARCO)</t>
  </si>
  <si>
    <t xml:space="preserve">29901015000017  </t>
  </si>
  <si>
    <t>29901-015-000017 BOLIGRAFO TINTA GEL COLOR NEGRO</t>
  </si>
  <si>
    <t xml:space="preserve">29901015100018  </t>
  </si>
  <si>
    <t>29901-015-100018 BOLIGRAFO TINTA GEL COLOR ROJO</t>
  </si>
  <si>
    <t xml:space="preserve">29901095715010  </t>
  </si>
  <si>
    <t>29901-095-715010 MARCADOR PARA PIZARRA ACRILICA COLOR AZUL</t>
  </si>
  <si>
    <t>3120151292041689</t>
  </si>
  <si>
    <t>3120151292041689 CINTA ADHESIVA PLASTICA TRANSPARENTE DE 18 MM</t>
  </si>
  <si>
    <t>3120162392125820</t>
  </si>
  <si>
    <t>3120162392125820 GOMA LOCA USO MULTIPLE</t>
  </si>
  <si>
    <t>4410171692125700</t>
  </si>
  <si>
    <t>4410171692125700-PERFORADORAS MEDIANAS DE METAL, DE 2 HUECOS</t>
  </si>
  <si>
    <t>4410200192156225</t>
  </si>
  <si>
    <t>4410200192156225 PLASTICO PARA ENCUADERNAR</t>
  </si>
  <si>
    <t>4410241492062541</t>
  </si>
  <si>
    <t>4410241492062541 SELLO AUTOMATICO, SELLO RECTANGULAR</t>
  </si>
  <si>
    <t>4410310392160291</t>
  </si>
  <si>
    <t>4410310392160291 TONER CYAN XEROX-VERSALIN C-7025</t>
  </si>
  <si>
    <t>4410310392160295</t>
  </si>
  <si>
    <t>4410310392160295 TONER AMARILLO XEROX-VERSALIN C-7025</t>
  </si>
  <si>
    <t>4410310392160297</t>
  </si>
  <si>
    <t>4410310392160297 BOTELLA PARA DESECHO DE TONER, PARA IMPRESORA VERSALINK MODELO C7025, Nº DE PARTE 115R00128</t>
  </si>
  <si>
    <t>4410310392160300</t>
  </si>
  <si>
    <t>4410310392160300 TONER MAGNETA XEROX-VERSALINK C-7025</t>
  </si>
  <si>
    <t>4410310392160304</t>
  </si>
  <si>
    <t>4410310392160304 TONER NEGRO XEROX-VERSALIN C-7025</t>
  </si>
  <si>
    <t>4410350392126026</t>
  </si>
  <si>
    <t>4410350392126026 RESORTE PLASTICO PARA ENCUADERNAR 9.52 MM</t>
  </si>
  <si>
    <t>4411200592126045</t>
  </si>
  <si>
    <t>4411200592126045 AGENDA EJECUTIVA</t>
  </si>
  <si>
    <t>4412150792162776</t>
  </si>
  <si>
    <t>4412150792162776 SOBRE MANILA Nº 9, TAMAÑO CARTA, 23 X 30.5 CMS. (PAQ. CON 50 UNIDADES)</t>
  </si>
  <si>
    <t>4412161592125814</t>
  </si>
  <si>
    <t>4412161592125814 ENGRAPADORA METALICA DE 14 CMS</t>
  </si>
  <si>
    <t>4412170892125329</t>
  </si>
  <si>
    <t>4412170892125329 MARCADOR PERMANENTE COLOR NEGRO PUNTA REDONDA</t>
  </si>
  <si>
    <t>4412170892125332</t>
  </si>
  <si>
    <t>4412170892125332 MARCADOR COLOR NEGRO PARA PIZARRA ACRILICA</t>
  </si>
  <si>
    <t>4412180490027492</t>
  </si>
  <si>
    <t>4412180490027492 BORRADOR PARA TINTA Y LAPIZ</t>
  </si>
  <si>
    <t>4412190492125912</t>
  </si>
  <si>
    <t>4412190492125912 TINTA PARA SELLOS, SIN ACEITE, TIPO GOTEO, COLOR AZUL</t>
  </si>
  <si>
    <t>4412200292070178</t>
  </si>
  <si>
    <t>4412200292070178 PROTECTORES DE PLASTICO PARA HOJAS (FUNDAS PLASTICAS) 21.6cm X 27.8cm</t>
  </si>
  <si>
    <t>4412200392131446</t>
  </si>
  <si>
    <t>4412200392131446 TABLA CON PRENSA METALICA</t>
  </si>
  <si>
    <t>4412200892068967</t>
  </si>
  <si>
    <t>4412200892068967 CEJILLAS DIVISORAS</t>
  </si>
  <si>
    <t>4412201092126031</t>
  </si>
  <si>
    <t>4412201092126031 DIVISIONES O SEPARADORES DE 10 PARA PORTAFOLIO Y AMPO</t>
  </si>
  <si>
    <t>4412202392078347 PORTAFOLIO 2 PULGADAS</t>
  </si>
  <si>
    <t>4412210790028211</t>
  </si>
  <si>
    <t>4412210790028211 GRAPAS PARA ENGRAPADORA ESTANDAR 26/6</t>
  </si>
  <si>
    <t>4412211890002585</t>
  </si>
  <si>
    <t>4412211890002585 PRENSA PARA FOLDER PLASTICAS (CAJA CON 50 PRENSAS) FASTENER</t>
  </si>
  <si>
    <t>4510190392034364</t>
  </si>
  <si>
    <t>4510190392034364 PERFORADORA DE TRES HUECOS</t>
  </si>
  <si>
    <t>4618150792090920</t>
  </si>
  <si>
    <t>4618150792090920 CHALECO REFLECTIVO DE SEGURIDAD, DE ALTA VISIBILIDAD</t>
  </si>
  <si>
    <t>5512161692126010</t>
  </si>
  <si>
    <t>5512161692126010 BANDERITAS (TAPE-FLAG)</t>
  </si>
  <si>
    <t>3120151292030180</t>
  </si>
  <si>
    <t>3120151292030180 CINTA ADHESIVA TRANSPARENTE DE 5.08cms</t>
  </si>
  <si>
    <t>3120161092125776</t>
  </si>
  <si>
    <t>3120161092125776 GOMA BLANCA</t>
  </si>
  <si>
    <t>3210161792118752</t>
  </si>
  <si>
    <t>3210161792118752 KIT COMPLETO DE FIRMA DIGITAL (TARJETA, LECTOR, CERTIFICADO)</t>
  </si>
  <si>
    <t>4321180292125703</t>
  </si>
  <si>
    <t>4321180292125703 MOUSE PAD CON REPOSAMUÑECA DE GEL</t>
  </si>
  <si>
    <t>4321180692125792</t>
  </si>
  <si>
    <t>4321180692125792 APOYA O DESCANSA MUÑECAS PARA TECLADO</t>
  </si>
  <si>
    <t>4410240292125688</t>
  </si>
  <si>
    <t>4410240292125688 NUMERADOR AUTOMATICO (FOLIADOR) DE METAL</t>
  </si>
  <si>
    <t>4410320392023570</t>
  </si>
  <si>
    <t>4410320392023570 CINTA PARA RELOJ MARCADOR</t>
  </si>
  <si>
    <t>4410320392033970</t>
  </si>
  <si>
    <t>4410320392033970 CINTA PARA RELOJ MARCADOR BIT TS200</t>
  </si>
  <si>
    <t>4412150692120233</t>
  </si>
  <si>
    <t>4412150692120233 SOBRE DE MANILA N°13 TAMAÑO OFICIO (PAQ. CON 50 UNIDADES)</t>
  </si>
  <si>
    <t>4412161390030995</t>
  </si>
  <si>
    <t>4412161390030995 SACAGRAPA DE METAL Y POLIETILENO</t>
  </si>
  <si>
    <t>4412170492068332</t>
  </si>
  <si>
    <t>4412170492068332 BOLIGRAFO COLOR ROJO X UNIDAD</t>
  </si>
  <si>
    <t>4412180290015620</t>
  </si>
  <si>
    <t>4412180290015620 CORRECTOR LIQUIDO TIPO LAPIZ</t>
  </si>
  <si>
    <t>4412201992126044</t>
  </si>
  <si>
    <t>4412201992126044 CAJAS DE CARTON PARA ARHIVO DE DOCUMENTOS</t>
  </si>
  <si>
    <t>4713180590029897</t>
  </si>
  <si>
    <t>4713180590029897 LIQUIDO LIMPIADOR DE PIZARRA ACRILICA</t>
  </si>
  <si>
    <t>29901-065-000300 GOMA LAPIZ ADHESIVO</t>
  </si>
  <si>
    <t xml:space="preserve">29903030000500  </t>
  </si>
  <si>
    <t>29903-030-000500 CUADERNO DE RESORTES 150 HOJAS</t>
  </si>
  <si>
    <t>3120161192125771</t>
  </si>
  <si>
    <t>20306</t>
  </si>
  <si>
    <t>3120161192125771 PLASTICO ADHESIVO</t>
  </si>
  <si>
    <t>4320180992002400</t>
  </si>
  <si>
    <t>4320180992002400 DISCO COMPACTO EN BLANCO REGRABABLE (10 CD X CAJA)</t>
  </si>
  <si>
    <t>4410171692125700 PERFORADORAS MEDIANAS DE METAL, DE 2 HUECOS</t>
  </si>
  <si>
    <t>4412161592125814 ENGRAPADORA METALICA</t>
  </si>
  <si>
    <t>4412161992125693</t>
  </si>
  <si>
    <t>4412161992125693 SACAPUNTAS METALICO (TAJADOR) DOBLE</t>
  </si>
  <si>
    <t>4412201192126041 CARPETAS DE MANILA TAMAÑO CARTA, COLOR AMARILLO NATURAL, CAJA DE 100 UNIDADES</t>
  </si>
  <si>
    <t>4412201792030122</t>
  </si>
  <si>
    <t>4412201792030122 CARPETAS COLGANTES TAMAÑO CARTA</t>
  </si>
  <si>
    <t>4412210692125805</t>
  </si>
  <si>
    <t>4412210692125805 CHINCHES DE COLORES CON CUBIERTA PLASTICA</t>
  </si>
  <si>
    <t>4412210790028211 GRAPAS PARA ENGRAPADORA ESTANDAR TAMAÑO 26/6</t>
  </si>
  <si>
    <t>1411150792125991 PAPEL KIMBERLY DE 21.59 X 27.94 CMS COLOR BLNACO</t>
  </si>
  <si>
    <t xml:space="preserve">29901045000005  </t>
  </si>
  <si>
    <t>29901-045-000005 CORRECTOR LIQUIDO TIPO LAPIZ</t>
  </si>
  <si>
    <t xml:space="preserve">29903030050021  </t>
  </si>
  <si>
    <t>29903-030-050021 CUADERNOS DE RESORTES DE 80 HOJAS, DE 21 X 17 CMS</t>
  </si>
  <si>
    <t xml:space="preserve">29903900002503  </t>
  </si>
  <si>
    <t>29903-900-002503 DIVISIONES-SEPARADOR DE PORTAFOLIO PREDISEÑADO NUMERADAS DEL 1 al 10, TAMAÑO CARTA, COLOR BLANCO</t>
  </si>
  <si>
    <t>4410240292125688 SELLO NUMERADOR (FOLIADOR), AUTOMATICO DE METAL</t>
  </si>
  <si>
    <t>4410310392018506</t>
  </si>
  <si>
    <t>4410310392018506 TONNER CF411A PARA IMPRESORA HP LASERJET PRO M477 DW COLOR CYAN</t>
  </si>
  <si>
    <t>4410310392083778</t>
  </si>
  <si>
    <t>4410310392083778 TONNER PARA IMPRESORA HP LASERJET PRO M477 DW COLOR NEGRO</t>
  </si>
  <si>
    <t>4410310392083779</t>
  </si>
  <si>
    <t>4410310392083779 TONNER PARA IMPRESORA HP LASERJET PRO M477 DW COLOR MAGENTA</t>
  </si>
  <si>
    <t>4410310392083780</t>
  </si>
  <si>
    <t>4410310392083780 TONNER PARA IMPRESORA HP LASERJET PRO M477 DW COLOR AMARILLO</t>
  </si>
  <si>
    <t>4411200492041881</t>
  </si>
  <si>
    <t>4411200492041881 PLANIFICADOR MENSUAL</t>
  </si>
  <si>
    <t>4412200892127763</t>
  </si>
  <si>
    <t>4412200892127763 SEPARADORES DE HOJAS DE PORTAFOLIO NUMERADOS DEL 1 al 31, TAMAÑO CARTA COLOR BLANCO</t>
  </si>
  <si>
    <t>4412202392078347 PORTAFOLIO TAMAÑO DE 2 PULGADAS</t>
  </si>
  <si>
    <t>4713181292031786</t>
  </si>
  <si>
    <t>4713181292031786 DESODORANTE AMBIENTAL EN AEROSOL</t>
  </si>
  <si>
    <t>8211190492043017</t>
  </si>
  <si>
    <t>8211190492043017 SUSCRIPCION ANUAL PERIODICO EL FINANCIERO</t>
  </si>
  <si>
    <t>8211190492043017 SUSCRIPCION ANUAL PERIODICO LA NACION</t>
  </si>
  <si>
    <t>3120150392050511</t>
  </si>
  <si>
    <t>3120150392050511 CINTA ADHESIVA PARA ENMASCARAR (MASKING TAPE), DE 1 1/2"</t>
  </si>
  <si>
    <t>4410200192130819</t>
  </si>
  <si>
    <t>4410200192130819 PLASTICO PARA ENCUADERNAR</t>
  </si>
  <si>
    <t>4410240292125691</t>
  </si>
  <si>
    <t>4410240292125691 SELLOS FECHADORES AUTOMATICOS</t>
  </si>
  <si>
    <t>4410241492062541 SELLO FOLIADOR AUTOMATICO</t>
  </si>
  <si>
    <t>4410310392037165</t>
  </si>
  <si>
    <t>4410310392037165 TONNER RICOH AFICIO SP3500SF</t>
  </si>
  <si>
    <t>4410311292208388</t>
  </si>
  <si>
    <t>4410311292208388 CINTA PARA IMPRESORA ENTRUST DATACARD COLORES NUMERO DE PARTE 513382-201</t>
  </si>
  <si>
    <t>4410311292208389</t>
  </si>
  <si>
    <t>4410311292208389 CINTA FILM DE RETRANSFERENCIA PARA IMPRESORA ENTRUST DATACARDNUMERO DE PARTE 513402-002</t>
  </si>
  <si>
    <t>4411150392133785</t>
  </si>
  <si>
    <t>4411150392133785 ORGANIZADOR PARA ESCRITORIO DE METAL</t>
  </si>
  <si>
    <t>4412161890011384</t>
  </si>
  <si>
    <t>4412161890011384 TIJERA TIPO OFICINA</t>
  </si>
  <si>
    <t>4412161992125693 SACAPUNTAS METALICO DOBLE (TAJADOR)</t>
  </si>
  <si>
    <t>4412170492068331 BOLIGRAFOS COLOR NEGROS (CAJAS DE 12 UNIDADES )</t>
  </si>
  <si>
    <t>4412170692125808 LAPIZ DE ESCRIBIR DE MADERA # 2HB</t>
  </si>
  <si>
    <t>4618150692009933</t>
  </si>
  <si>
    <t>29904</t>
  </si>
  <si>
    <t>4618150692009933 GORRA DE TELA</t>
  </si>
  <si>
    <t>Traspaso N°13</t>
  </si>
  <si>
    <t>4618150792090920-CHALECO REFLECTIVO DE SEGURIDAD, ALTA VISIBILIDAD</t>
  </si>
  <si>
    <t>4618190192007368</t>
  </si>
  <si>
    <t>4618190192007368 PROTECTORES AUDITIVOS ANATOMICOS</t>
  </si>
  <si>
    <t>5310150292081130</t>
  </si>
  <si>
    <t>5310150292081130 PANTALON</t>
  </si>
  <si>
    <t>5310160292079263</t>
  </si>
  <si>
    <t>5310160292079263 CAMISA, TIPO AVIADOR</t>
  </si>
  <si>
    <t xml:space="preserve">29903005000001  </t>
  </si>
  <si>
    <t>29903-005-000001 LIBROS VARIOS</t>
  </si>
  <si>
    <t>BIBLIOTECA TÉCNICA ADMINISTRACIÓN GENERAL</t>
  </si>
  <si>
    <t>1411153092160594 BLOCK DE 4 COLORES NOTAS ADHESIVAS QUITA Y PON 75mm x 75mm</t>
  </si>
  <si>
    <t>1411170590031684</t>
  </si>
  <si>
    <t>1411170590031684 SERVILLETA DE PAPEL</t>
  </si>
  <si>
    <t xml:space="preserve">20402001000005  </t>
  </si>
  <si>
    <t>20402</t>
  </si>
  <si>
    <t>2010	
20402-001-000005 LLANTA 225/55R19</t>
  </si>
  <si>
    <t xml:space="preserve">29903030050020  </t>
  </si>
  <si>
    <t>29903-030-050020 CUADERNO DE RESORTES DE 80 HOJAS</t>
  </si>
  <si>
    <t>4412190292040578</t>
  </si>
  <si>
    <t>4412190292040578 MINAS PARA PORTAMINAS DE 0.5 MM, DUREZA 2B</t>
  </si>
  <si>
    <t>4713160292121680</t>
  </si>
  <si>
    <t>4713160292121680 ESPONJA DE FIBRA SINTETICA LAVA PLATOS</t>
  </si>
  <si>
    <t>4713180592115964</t>
  </si>
  <si>
    <t>4713180592115964 ABRILLANTADOR</t>
  </si>
  <si>
    <t>4713181092120485</t>
  </si>
  <si>
    <t>4713181092120485 JABON LAVAPLATOS EN CREMA</t>
  </si>
  <si>
    <t>1411150792125992</t>
  </si>
  <si>
    <t>1411150792125992 PAPEL ESPECIAL DE COLORES SURTIDOS TAMAÑO CARTA</t>
  </si>
  <si>
    <t xml:space="preserve">29903040020228  </t>
  </si>
  <si>
    <t>29903-040-020228 BLOCK DE NOTAS 5 COLORES 40 X 50 MM PAQ 24 UNIDADES</t>
  </si>
  <si>
    <t>4410350292131870</t>
  </si>
  <si>
    <t>4410350292131870 TAPAS PARA ENCUADERNACION PASTA DURA</t>
  </si>
  <si>
    <t>4412161292125794</t>
  </si>
  <si>
    <t>4412161292125794 CORTAPAPEL (TIPO CUTTER)</t>
  </si>
  <si>
    <t>4412170692125808 LAPIZ DE ESCRIBIR DE MADERA 2HB</t>
  </si>
  <si>
    <t>4412201192126041 CARPETAS DE MANILA TAMAÑO CARTA,COLOR AMARILLO NATURAL, CAJA DE 100 UNIDADES</t>
  </si>
  <si>
    <t>4412210492070158</t>
  </si>
  <si>
    <t>4412210492070158 CLIP TIPO MARIPOSA # 1 (12 CLIPS POR CAJA)</t>
  </si>
  <si>
    <t>4412210492125802 CLIP N° 1 (33MM) CON RECUBRIMIENTO PLASTICO (100 CLIPS X CAJA)</t>
  </si>
  <si>
    <t>4412211890002585-PRENSA PARA FOLDER PLASTICAS (CJA CON 50 PRENSAS) FASTENER</t>
  </si>
  <si>
    <t>20402-001-000005 LLANTA 225/55R19</t>
  </si>
  <si>
    <t xml:space="preserve">29901095000319  </t>
  </si>
  <si>
    <t>29901-095-000319 MARCADOR PARA PIZARRA ACRILICA, PUNTA GRUESA, COLOR AZUL</t>
  </si>
  <si>
    <t xml:space="preserve">29903040020227  </t>
  </si>
  <si>
    <t>29903-040-020227 BLOCK NOTAS COLOR AMARILLO 34.9MM X 47.6MM</t>
  </si>
  <si>
    <t xml:space="preserve">29903050000041  </t>
  </si>
  <si>
    <t>29903-050-000041 TAPAS PLASTICAS TRANSPARENTES PARA ENCUADERNACION TAMAÑO CARTA</t>
  </si>
  <si>
    <t xml:space="preserve">29903060000060  </t>
  </si>
  <si>
    <t>29903-060-000060 SOBRE BLANCO TAMAÑO CARTA</t>
  </si>
  <si>
    <t>4410171692044465</t>
  </si>
  <si>
    <t>4410171692044465 PERFORADORA INDUSTRIAL METALICA</t>
  </si>
  <si>
    <t>4410350392126026 RESORTE PLASTICO PARA ENCUADERNAR DE 9.52mm</t>
  </si>
  <si>
    <t>4410350392126028</t>
  </si>
  <si>
    <t>4410350392126028 RESORTE PLASTICO PARA ENCUADERNAR DE 6.35mm</t>
  </si>
  <si>
    <t>4412170692125808 LAPIZ DE ESCRIBIR, DE MADERA #2HB</t>
  </si>
  <si>
    <t>4412170892125330</t>
  </si>
  <si>
    <t>4412170892125330 MARCADOR COLOR AZUL PERMANENTE PUNTA REDONDA</t>
  </si>
  <si>
    <t>4412170892125333</t>
  </si>
  <si>
    <t>4412170892125333 MARCADOR PERMANENTE COLOR ROJO PUNTA REDONDA</t>
  </si>
  <si>
    <t>4412170892125334</t>
  </si>
  <si>
    <t>4412170892125334 MARCADOR PARA PIZARRA ACRILICA COLOR ROJO</t>
  </si>
  <si>
    <t>4412171692030418</t>
  </si>
  <si>
    <t>4412171692030418 MARCADOR FOSFORESCENTE, PUNTA GRUESA, COLOR ROSADO</t>
  </si>
  <si>
    <t>4412171692124983</t>
  </si>
  <si>
    <t>4412171692124983 MARCADOR RESALTADOR DE TEXTO COLOR AMARILLO FOSFORECENTE</t>
  </si>
  <si>
    <t>4412201192013459</t>
  </si>
  <si>
    <t>4412201192013459 CARPETAS DE MANILA TAMAÑO CARTA COLOR AMARILLO</t>
  </si>
  <si>
    <t>4412201792126043</t>
  </si>
  <si>
    <t>4412201792126043 CARPETAS COLGANTES TAMAÑO OFICIO (CAJAS DE 25 UNIDADES)</t>
  </si>
  <si>
    <t>4412203392011604</t>
  </si>
  <si>
    <t>4412203392011604 CARPETAS PLASTICAS PARA ARCHIVO CON DIVISIONES</t>
  </si>
  <si>
    <t>4412210492070158 CLIP TIPO MARIPOSA #1 (12 CLIPS POR CAJA)</t>
  </si>
  <si>
    <t>4412210492125798</t>
  </si>
  <si>
    <t>4412210492125798 PRENSA LOTERIA 51 MM= 2" (12 PRENSAS X CAJA)</t>
  </si>
  <si>
    <t>4412210492125801</t>
  </si>
  <si>
    <t>4412210492125801 CLIP TAMAÑO JUMBO (100 CLIPS X CAJA)</t>
  </si>
  <si>
    <t>4412210792125812</t>
  </si>
  <si>
    <t>4412210792125812 GRAPAS TAMAÑO 23/17</t>
  </si>
  <si>
    <t>1235230492069269</t>
  </si>
  <si>
    <t>1235230492069269 AGUA OXIGENADA 120ML</t>
  </si>
  <si>
    <t>1411150792123652</t>
  </si>
  <si>
    <t>1411150792123652 C.M PAPEL BOND RESMA COLOR VERDE 75grs</t>
  </si>
  <si>
    <t>1411150792123653</t>
  </si>
  <si>
    <t>1411150792123653 C.M PAPEL BOND RESMA COLOR CELESTE 75grs</t>
  </si>
  <si>
    <t>1411150792134384 C.M PAPEL BOND BLANCO 75 GRS TAMAÑO CARTA</t>
  </si>
  <si>
    <t>1411151590002297</t>
  </si>
  <si>
    <t>1411151590002297 CINTAS PARA CALCULADORA Y SUMADORA</t>
  </si>
  <si>
    <t>1411151992093072 CARTULINA BRISTOL, COLOR BLANCO</t>
  </si>
  <si>
    <t>1411153192045590</t>
  </si>
  <si>
    <t>1411153192045590 LIBROS DE ACTAS, DE 500 FOLIOS</t>
  </si>
  <si>
    <t>1411170392031257 C.M TOALLAS DESECHABLES DE PAPEL</t>
  </si>
  <si>
    <t>1411181892161349</t>
  </si>
  <si>
    <t>1411181892161349 PAPEL DE REGISTRO TERMOSENSIBLE PARA ELECTROCARDIOGRAFO</t>
  </si>
  <si>
    <t xml:space="preserve">20104085000100  </t>
  </si>
  <si>
    <t>20104-085-000100 C.M TINTA PARA SELLOS DE HULE COLOR NEGRO</t>
  </si>
  <si>
    <t xml:space="preserve">20104085000101  </t>
  </si>
  <si>
    <t>20104-085-000101 TINTA PARA SELLOS, COLOR AZUL</t>
  </si>
  <si>
    <t xml:space="preserve">20104480090130  </t>
  </si>
  <si>
    <t>20104-480-090130 TONNER PARA IMPRESORA HP 05A CE505A</t>
  </si>
  <si>
    <t xml:space="preserve">20199030000301  </t>
  </si>
  <si>
    <t>20199-030-000301 AROMATIZANTE AMBIENTAL, DESODORIZANTE Y NEUTRALIZADOR DE OLORES, EN SPRAY, PRESENTACIÓN ENVASE 480mL</t>
  </si>
  <si>
    <t xml:space="preserve">29901030000760  </t>
  </si>
  <si>
    <t>29901-030-000760 CINTAS DE EMPAQUE PARA EMBALAJES DE ALTA ADHESIVIDAD CON FILAMENTO</t>
  </si>
  <si>
    <t xml:space="preserve">29901445000800  </t>
  </si>
  <si>
    <t>29901-445-000800 DATA CARTRIDGE (CINTA CMYKP-CR805-1000TJ)</t>
  </si>
  <si>
    <t>29901-445-000800 DATA CARTRIDGE (PELICULA DE RETRANSFERENCIA TRANSPARENTE-CR805-1500IMG)</t>
  </si>
  <si>
    <t xml:space="preserve">29902900001270  </t>
  </si>
  <si>
    <t>29902-900-001270 KIT DESCARTABLE PARA MOVER SUTURAS, QUITA PUNTOS</t>
  </si>
  <si>
    <t xml:space="preserve">29903015000030  </t>
  </si>
  <si>
    <t>29903-015-000030 C.M PAPEL BOND MEDIDAS Y COLOR A ESCOGER</t>
  </si>
  <si>
    <t xml:space="preserve">29903015000040  </t>
  </si>
  <si>
    <t>29903-015-000040 C.M PAPEL BOND RESMA COLOR ROSADO 75grs</t>
  </si>
  <si>
    <t>3120161092125776 GOMA BLANCA LIQUIDA</t>
  </si>
  <si>
    <t>4110410292101106</t>
  </si>
  <si>
    <t>4110410292101106 LANCETAS PARA GLICEMIAS Y/O GLUCOMETRO</t>
  </si>
  <si>
    <t>4111160490009733</t>
  </si>
  <si>
    <t>4111160490009733 REGLA METALICA DE 30 CMS</t>
  </si>
  <si>
    <t>4112249192169652</t>
  </si>
  <si>
    <t>4112249192169652 C.M ETIQUETA PARA IMPRESORA CARDIOCHEK</t>
  </si>
  <si>
    <t>4213220592085713</t>
  </si>
  <si>
    <t>4213220592085713 GUANTES ESTERILIZADOS, 6 1/2</t>
  </si>
  <si>
    <t>4214150192007504</t>
  </si>
  <si>
    <t>4214150192007504 ALGODON</t>
  </si>
  <si>
    <t>4214252392007501</t>
  </si>
  <si>
    <t>4214252392007501 AGUJAS 22 X 1 1/2 NIPRO</t>
  </si>
  <si>
    <t>4214252392067519</t>
  </si>
  <si>
    <t>4214252392067519 AGUJAS 2 5 X 1/2 NIPRO</t>
  </si>
  <si>
    <t>4214252392088246</t>
  </si>
  <si>
    <t>4214252392088246 AGUJAS 23 X 1 NIPRO</t>
  </si>
  <si>
    <t>4214260990033883</t>
  </si>
  <si>
    <t>4214260990033883 JERINGAS DESCARTABLES 5 CC (CON AGUJAS 22 x 11/2)</t>
  </si>
  <si>
    <t>4214260992021543</t>
  </si>
  <si>
    <t>4214260992021543 JERINGAS DESCARTABLES 3CC (CON AGUJAS 22 x 1 1/2)</t>
  </si>
  <si>
    <t>4214260992091974</t>
  </si>
  <si>
    <t>4214260992091974 JERINGA DESCARTABLE DE 50CC</t>
  </si>
  <si>
    <t>4214260992136748</t>
  </si>
  <si>
    <t>4214260992136748 JERINGAS DESCARTABLES DE INSULINA 29 x 1/2</t>
  </si>
  <si>
    <t>4214261190001153</t>
  </si>
  <si>
    <t>4214261190001153 JERINGA DESCARTABLE TUBERCULINA CON AGUJA  29X1/3</t>
  </si>
  <si>
    <t>4218170892001949</t>
  </si>
  <si>
    <t>4218170892001949 SET DE ELECTRODOS (USO MEDICO) PARA CARDIODESFIBRILADOR</t>
  </si>
  <si>
    <t>4222150490001218</t>
  </si>
  <si>
    <t>4222150490001218 CATETER INTRAVENOSO (ANGIOCARTH) 18 G X 1 1/4</t>
  </si>
  <si>
    <t>4222150490039491</t>
  </si>
  <si>
    <t>4222150490039491 CATETER INTRAVENOSO (ANGIOCARTH) 20 G X 1 1/4</t>
  </si>
  <si>
    <t>4222150492001555</t>
  </si>
  <si>
    <t>4222150492001555 CATETER INTRAVENOSO (ANGIOCARTH) 22 G X 1</t>
  </si>
  <si>
    <t>4222150492078934</t>
  </si>
  <si>
    <t>4222150492078934 CATETER INTRAVENOSO (ANGIOCARTH) 24 G X 3/4</t>
  </si>
  <si>
    <t>4222150792153598</t>
  </si>
  <si>
    <t>4222150792153598 KIT DE CURACION DESCARTABLE (O SUTURA) PINZAS METALICAS</t>
  </si>
  <si>
    <t>4222160992021726</t>
  </si>
  <si>
    <t>4222160992021726 CONEXIONES PARA SUERO 170 CM s/AGUJA</t>
  </si>
  <si>
    <t>4227180292092807</t>
  </si>
  <si>
    <t>4227180292092807 MICRONEBULIZADOR CON MASCARILLA PARA ADULTO</t>
  </si>
  <si>
    <t>4228160390041265</t>
  </si>
  <si>
    <t>4228160390041265 ESTERILIX-DESINFECTANTE ANTIBACTERIANO</t>
  </si>
  <si>
    <t>4229290892153026</t>
  </si>
  <si>
    <t>4229290892153026 KIT DE LACERACION DESCARTABLE O SUTURAS DE 13 PIEZAS</t>
  </si>
  <si>
    <t>4229512792059433</t>
  </si>
  <si>
    <t>4229512792059433 KIT EXTRACCION DE UÑAS CON PINZAS METALIZA</t>
  </si>
  <si>
    <t>4231150590007766</t>
  </si>
  <si>
    <t>4231150590007766 CURITAS REDONDAS-TIRA ADHESIVA</t>
  </si>
  <si>
    <t>4231150590007766 CURITA-TIRA ADHESIVA</t>
  </si>
  <si>
    <t>4231150692156048</t>
  </si>
  <si>
    <t>4231150692156048 VENDA USO MEDICO</t>
  </si>
  <si>
    <t>4231150692156147</t>
  </si>
  <si>
    <t>4231150692156147 VENDA ELASTICA DE 10.16 CMS</t>
  </si>
  <si>
    <t>4231151190015715</t>
  </si>
  <si>
    <t>4231151190015715 GASA PARA APOSITOS</t>
  </si>
  <si>
    <t>4231152090020151</t>
  </si>
  <si>
    <t>4231152090020151 CINTA PARA GLUCOMETRO-CINTA PARA MEDIR GLUCOSA</t>
  </si>
  <si>
    <t>4231170890033630</t>
  </si>
  <si>
    <t>4231170890033630 ESPARADRAPO POROSO</t>
  </si>
  <si>
    <t>4231231192168036</t>
  </si>
  <si>
    <t>4231231192168036 KIT TOMA DE VIAS PERIFERICAS</t>
  </si>
  <si>
    <t>4410200192130819 C.M PLASTICO PARA ENCUADERNAR</t>
  </si>
  <si>
    <t>4410240292125688 C.M SELLO NUMERADOR (FOLIADOR) AUTOMATICO DE METAL</t>
  </si>
  <si>
    <t>4410240292125688 SELLO NUMERADOR (FOLIADOR), AUTOMATICO</t>
  </si>
  <si>
    <t>4410240292125691 SELLO FECHADOR AUTOMATICO, METALICO</t>
  </si>
  <si>
    <t>4411150392125701</t>
  </si>
  <si>
    <t>4411150392125701 PAPELERA DE METAL DE 03 COMPARTIMIENTOS</t>
  </si>
  <si>
    <t>4412161292125794 C.M CORTAPAPEL (TIPO CUTTER)</t>
  </si>
  <si>
    <t>4412161892013932</t>
  </si>
  <si>
    <t>4412161892013932 TIJERA COMUN</t>
  </si>
  <si>
    <t>4412161992125693 SACAPUNTAS METALICO (TAJADOR), DOBLE</t>
  </si>
  <si>
    <t>4412162892125797</t>
  </si>
  <si>
    <t>4412162892125797 DISPENSADOR DE CLIPS MAGNETICO</t>
  </si>
  <si>
    <t>4412170892125329 C.M MARCADOR PERMANENTE COLOR NEGRO PUNTA REDONDA</t>
  </si>
  <si>
    <t>4412170892125330 C.M MARCADOR PERMANENTE, COLOR AZUL, PUNTA REDONDA</t>
  </si>
  <si>
    <t>4412170892125330 MARCADOR COLOR AZUL, PERMANENTE, PUNTA REDONDA</t>
  </si>
  <si>
    <t>4412170892125331</t>
  </si>
  <si>
    <t>4412170892125331 MARCADOR PARA PIZARRA ACRILICA, PUNTA GRUESA COLOR VERDE</t>
  </si>
  <si>
    <t>4412170892125333 C.M MARCADOR PERMANENTE ROJO PUNTA REDONDA</t>
  </si>
  <si>
    <t>4412171692124983 C.M MARCADOR RESALTADOR DE TEXTO COLOR AMARILLO FOSFORECENTE</t>
  </si>
  <si>
    <t>4412190492125912 C.M TINTA PARA SELLOS DE HULE COLOR AZUL</t>
  </si>
  <si>
    <t>4412200892068967 CEJILLA DIVISORIA PLASTICA</t>
  </si>
  <si>
    <t>4412200892078682</t>
  </si>
  <si>
    <t>4412200892078682 CEJILLAS PLASTICAS OFICIO</t>
  </si>
  <si>
    <t>4412201092002056</t>
  </si>
  <si>
    <t>4412201092002056 DIVISIONES O SEPARADORES DE 5 PARA PORTAFOLIO Y AMPO</t>
  </si>
  <si>
    <t>4412201192013459 C.M CARPETAS DE MANILA TAMAÑO CARTA AMARILLO</t>
  </si>
  <si>
    <t>4412201192013638</t>
  </si>
  <si>
    <t>4412201192013638 ARCHIVADORES DE CARTON TAMAÑO CARTA (AMPOS)</t>
  </si>
  <si>
    <t>4412201192035557</t>
  </si>
  <si>
    <t>4412201192035557 CARPETAS DE MANILA TAMAÑO CARTA COLOR AZUL</t>
  </si>
  <si>
    <t>4412201192076610</t>
  </si>
  <si>
    <t>4412201192076610 CARPETA CON SUBDIVISIONES PARA ARCHIVO DE EXPEDIENTES</t>
  </si>
  <si>
    <t>4412201192126040</t>
  </si>
  <si>
    <t>4412201192126040 CARPETAS MANILLA TAMAÑO CARTA DE COLORES</t>
  </si>
  <si>
    <t>4412210492125802 CLIP N° 1 (33 MM) CON RECUBRIMIENTO PLASTICO (100 CLIPS X CAJA)</t>
  </si>
  <si>
    <t>4412211890002585 C.M PRENSA PARA FOLDER PLASTICAS (CAJA CON 50 PRENSAS) FASTENER</t>
  </si>
  <si>
    <t>4618200192150619</t>
  </si>
  <si>
    <t>4618200192150619 MASCARILLA DESECHABLE USO MEDICO</t>
  </si>
  <si>
    <t>4712170290031849</t>
  </si>
  <si>
    <t>4712170290031849 BASUREROS DE METAL</t>
  </si>
  <si>
    <t>4713150192005790</t>
  </si>
  <si>
    <t>4713150192005790 PAÑOS DE ALGODON</t>
  </si>
  <si>
    <t>5114156692093744</t>
  </si>
  <si>
    <t>5114156692093744 POLVO ANTIACIDO EFERVECENTE-SAL ANDREWS</t>
  </si>
  <si>
    <t>5114219992019239</t>
  </si>
  <si>
    <t>5114219992019239 PARCHES MEDICINALES-DESINFLAMATORIO</t>
  </si>
  <si>
    <t>5115191292005583</t>
  </si>
  <si>
    <t>5115191292005583 TIOCOLCHICOSIDO (RELAJANTE MUSCULAR)</t>
  </si>
  <si>
    <t>5115205292091962</t>
  </si>
  <si>
    <t>5115205292091962 CILOBENZAPRINA-CLORHIDRATO 10 MGRS</t>
  </si>
  <si>
    <t>5116170592119906</t>
  </si>
  <si>
    <t>5116170592119906 COMBIVENT NEBULIZAR AMPOLLAS 2,5 ML-SOLUCION BROMURO DE IPRATROPIO</t>
  </si>
  <si>
    <t>5116181292007485</t>
  </si>
  <si>
    <t>5116181292007485 ANTIFLUDES-ANTIHISTAMINICO ANTIGRIPAL</t>
  </si>
  <si>
    <t>5117150492027454</t>
  </si>
  <si>
    <t>5117150492027454 ALKA SELTZER-ANTIACIDO EFERVESCENTE</t>
  </si>
  <si>
    <t>5117150592080731</t>
  </si>
  <si>
    <t>5117150592080731 DIMETICONA-ANTIFLATULENTO-SIMETICONA</t>
  </si>
  <si>
    <t>5119160292007702</t>
  </si>
  <si>
    <t>5119160292007702 SOLUCION SALINA 500 CC(CLORURO DE SODIO AL 0,9%) SUERO</t>
  </si>
  <si>
    <t>5119160292022100</t>
  </si>
  <si>
    <t>5119160292022100 SOLUCION SALINA 100 CC(CLORURO DE SODIO AL 0,9%) SUERO</t>
  </si>
  <si>
    <t>5119160292022111</t>
  </si>
  <si>
    <t>5119160292022111 SOLUCION SALINA 1000 CC(CLORURO DE SODIO AL 0,9%) SUERO</t>
  </si>
  <si>
    <t>5120160892006354</t>
  </si>
  <si>
    <t>5120160892006354 VACUNA CONTRA INFLUENZA</t>
  </si>
  <si>
    <t>5124120892097251</t>
  </si>
  <si>
    <t>5124120892097251 DERMOLAN-UNGUENTO PARA DESINFLAMAR</t>
  </si>
  <si>
    <t>5127162992079858</t>
  </si>
  <si>
    <t>5127162992079858 LIDOCAINA, ANESTESIA LOCAL</t>
  </si>
  <si>
    <t>5127162992079858 LIDOCAINA, ANESTESIA LOCAL SPRAY</t>
  </si>
  <si>
    <t>5127190592022275</t>
  </si>
  <si>
    <t>5127190592022275 ANESTENKA-BENZOCAINA</t>
  </si>
  <si>
    <t>5128161892074701</t>
  </si>
  <si>
    <t>5128161892074701 BACITRACINA + NEOMICINA</t>
  </si>
  <si>
    <t>5138390592088782</t>
  </si>
  <si>
    <t>5138390592088782 SERTAL COMPUESTO FORTE</t>
  </si>
  <si>
    <t>5138453392107914</t>
  </si>
  <si>
    <t>5138453392107914 NAPROXENO 550 mgrs</t>
  </si>
  <si>
    <t>5139170392086474</t>
  </si>
  <si>
    <t>5139170392086474 SALBUTAMOL PARA NEBULIZAR-BRONCODILATADOR</t>
  </si>
  <si>
    <t>5139170792086405</t>
  </si>
  <si>
    <t>5139170792086405 EFORTIL (GOTAS)-ETILEFRINA CLORHIDRATO</t>
  </si>
  <si>
    <t>5147190192066704</t>
  </si>
  <si>
    <t>5147190192066704 ALCOHOL ISOPROPILICO 90 GRADOS</t>
  </si>
  <si>
    <t>5147290192049660</t>
  </si>
  <si>
    <t>5147290192049660 YODO AL 2%</t>
  </si>
  <si>
    <t>5212150992045614</t>
  </si>
  <si>
    <t>5212150992045614 JUEGO DE SABANAS</t>
  </si>
  <si>
    <t>5310271292163984</t>
  </si>
  <si>
    <t>5310271292163984 UNIFORME PARA DOCTOR</t>
  </si>
  <si>
    <t>5310271292163992</t>
  </si>
  <si>
    <t>5310271292163992 UNIFORME PARA ENFERMERA</t>
  </si>
  <si>
    <t>5510153192096885</t>
  </si>
  <si>
    <t>5510153192096885 LIBRO CODIGO DE TRABAJO</t>
  </si>
  <si>
    <t>5512161292102365</t>
  </si>
  <si>
    <t>5512161292102365 C.M ETIQUETAS BLANCAS P/IMPRESORA  2,54CMS X 6,67CMS (PAQ.C/25 HOJAS)</t>
  </si>
  <si>
    <t>5512180492134977</t>
  </si>
  <si>
    <t>5512180492134977 TARJETA PLASTICA</t>
  </si>
  <si>
    <t>8512160892071746</t>
  </si>
  <si>
    <t>8512160892071746 CM FORMULARIOS CONSULTORIO</t>
  </si>
  <si>
    <t xml:space="preserve">	
2230801  </t>
  </si>
  <si>
    <t>5512180792047895</t>
  </si>
  <si>
    <t>5512180792047895 COBERTOR PLASTICO PARA CARNET</t>
  </si>
  <si>
    <t>8512160892071746 FORMULARIOS IMPRESOS DE PRUEBAS PSICOLOGICAS</t>
  </si>
  <si>
    <t>1411150792123652 PAPEL BOND RESMA COLOR VERDE 75grs</t>
  </si>
  <si>
    <t xml:space="preserve">2010448009024   </t>
  </si>
  <si>
    <t>20104-480-09024 TONER PARA IMPRESORA LASER LEXMARK. N604 MODELO MX 410</t>
  </si>
  <si>
    <t xml:space="preserve">29903015000004  </t>
  </si>
  <si>
    <t>29903-015-000004 PAPEL BOND RESMA COLOR AMARILLO 75grs</t>
  </si>
  <si>
    <t xml:space="preserve">29903015081106  </t>
  </si>
  <si>
    <t>29903-015-081106 PAPEL DOBLE CARTA, TAMAÑO 43,2cm X 55,8cm (17pulg X 22pulg), COLOR BLANCO, GRAMAJE 75g, RESMA 500 HOJAS</t>
  </si>
  <si>
    <t>4410310392090330</t>
  </si>
  <si>
    <t>4410310392090330 TONER CANON COLOR NEGRO/128/ MF4400/MF4500/MF4700/MF4800/L100/L190</t>
  </si>
  <si>
    <t>4410312792131035</t>
  </si>
  <si>
    <t>4410312792131035 TONER COLOR CYAN KYOCERA TK-8527C/ 3552ci / 4052ci</t>
  </si>
  <si>
    <t>4410312792131081</t>
  </si>
  <si>
    <t>4410312792131081 TONER COLOR MAGENTA KYOCERA TK-8527M/ 3552ci / 4052ci</t>
  </si>
  <si>
    <t>4410312792131082</t>
  </si>
  <si>
    <t>4410312792131082 TONER COLOR NEGRO KYOCERA TK-8527K/ 3552ci/ 4052ci</t>
  </si>
  <si>
    <t>4410312792131083</t>
  </si>
  <si>
    <t>4410312792131083 TONER COLOR AMARILLO KYOCERA TK-8527Y/ 3552ci/ 4052ci</t>
  </si>
  <si>
    <t>Suministros  terminal</t>
  </si>
  <si>
    <t xml:space="preserve">4713170192046549 </t>
  </si>
  <si>
    <t>4713170192046549 DISPENSADOR PARA TOALLA DE PAPEL (SOLO DISPOSITIVO)</t>
  </si>
  <si>
    <t>1411150792134384 PAPEL BOND COLOR BLANCO 75 GRS TAMAÑO CARTA</t>
  </si>
  <si>
    <t xml:space="preserve">29903065000001  </t>
  </si>
  <si>
    <t>29903-065-000001 SERVILLETAS C/BLANCO DE PAPEL</t>
  </si>
  <si>
    <t xml:space="preserve">29903900175075  </t>
  </si>
  <si>
    <t>29903-900-175075 PAPEL HIGIENICO</t>
  </si>
  <si>
    <t xml:space="preserve">29905025000001  </t>
  </si>
  <si>
    <t>29905-025-000001 DESINFECTANTE LIMPIADOR</t>
  </si>
  <si>
    <t xml:space="preserve">29905025000600  </t>
  </si>
  <si>
    <t>29905-025-000600 DESINFECTANTE CONCENTRADO PARA DILUIR, VARIOS AROMAS</t>
  </si>
  <si>
    <t xml:space="preserve">29905035000185  </t>
  </si>
  <si>
    <t>29905-035-000185 LIMPIADOR DESENGRASANTE CONCENTRADO (SOLUBLE EN AGUA)</t>
  </si>
  <si>
    <t xml:space="preserve">29905035150020  </t>
  </si>
  <si>
    <t>29905-035-150020 LIMPIADOR DE CRISTALES</t>
  </si>
  <si>
    <t xml:space="preserve">29905045000380  </t>
  </si>
  <si>
    <t>29905-045-000380 JABON ALCOHOL GEL PARA LAVADO DE MANOS EN SECO</t>
  </si>
  <si>
    <t xml:space="preserve">29905050000005  </t>
  </si>
  <si>
    <t>29905-050-000005 DESODORANTE AMBIENTAL EN PASTILLA</t>
  </si>
  <si>
    <t xml:space="preserve">29905050000701  </t>
  </si>
  <si>
    <t>29905-050-000701 DESODORANTE AMBIENTAL EN VARIOS AROMAS</t>
  </si>
  <si>
    <t xml:space="preserve">29905060100010  </t>
  </si>
  <si>
    <t>29905-060-100010 BOLSA GRANDE PARA BASURA (60.9 X 76.2 CMS)</t>
  </si>
  <si>
    <t xml:space="preserve">29905060100011  </t>
  </si>
  <si>
    <t>29905-060-100011 BOLSA MEDIANA PARA BASURA</t>
  </si>
  <si>
    <t xml:space="preserve">29905060100012 </t>
  </si>
  <si>
    <t>29905-060-100012 BOLSA PEQUEÑA PARA BASURA</t>
  </si>
  <si>
    <t xml:space="preserve">29905900000040 </t>
  </si>
  <si>
    <t>29905-900-000040 CLORO LIQUIDO</t>
  </si>
  <si>
    <t xml:space="preserve">29906135000092      </t>
  </si>
  <si>
    <t>29906-135-000092 GORRA CON CUELLO PROTECTOR (TAPA CUELLO) TELA SECADO RAPIDO, SEIS PANELES, VISERA CONICA, CORDON ELASTICO CON CIERRE AJUSTABLE, TALLA UNICA AJUSTABLE</t>
  </si>
  <si>
    <t xml:space="preserve">29906490020271  </t>
  </si>
  <si>
    <t>29906-490-020271 MANGAS PARA PROTECCION DEL SOL, EXPANDEX ELASTANO, LICRA CON FILTRO SOLAR TEXTIL</t>
  </si>
  <si>
    <t>4410310392096956</t>
  </si>
  <si>
    <t>4410310392096956 TONER PARA IMPRESORA HP, 312A (CF381A) COLOR CYAN</t>
  </si>
  <si>
    <t>4410310392096957</t>
  </si>
  <si>
    <t>4410310392096957 TONER PARA IMPRESORA HP312A (CF383A) COLOR MAGENTA</t>
  </si>
  <si>
    <t>4410310392096960</t>
  </si>
  <si>
    <t>4410310392096960 TONNER PARA IMPRESORA HP 312A (CF382A) COLOR AMARILLO</t>
  </si>
  <si>
    <t>4410310392096969</t>
  </si>
  <si>
    <t>4410310392096969 TONER COLOR NEGRO PARA IMPRESORA HP 312A (CF380A) MFP M476</t>
  </si>
  <si>
    <t>4617150192078687</t>
  </si>
  <si>
    <t>20301</t>
  </si>
  <si>
    <t>4617150192078687 CANDADO DE 60 MM</t>
  </si>
  <si>
    <t>4712170192051060</t>
  </si>
  <si>
    <t>4712170192051060 BOLSA PLASTICA PARA BASURA</t>
  </si>
  <si>
    <t>4712170192059903</t>
  </si>
  <si>
    <t>4712170192059903 BOLSA PLASTICA PARA BASURA TAMAÑO DE 939,8 MM DE ANCHO X 1397 MM DE LARGO</t>
  </si>
  <si>
    <t>4712170292115751</t>
  </si>
  <si>
    <t>4712170292115751 BASURERO PLASTICO CON TAPA</t>
  </si>
  <si>
    <t>4713180592027484</t>
  </si>
  <si>
    <t>4713180592027484 LIQUIDO ABRILLANTADOR MULTIUSO, PROTECTOR Y LIMPIADOR</t>
  </si>
  <si>
    <t>4713180592183877</t>
  </si>
  <si>
    <t>4713180592183877 LIMPIADOR DE CERAMICA</t>
  </si>
  <si>
    <t>4713181292115948</t>
  </si>
  <si>
    <t>4713181292115948 DESODORANTE AMBIENTAL</t>
  </si>
  <si>
    <t>5310319992079963 CHALECO DE SEGURIDAD</t>
  </si>
  <si>
    <t>5313160892129760</t>
  </si>
  <si>
    <t>5313160892129760 DETERGENTE EN POLVO 1000g CON AROMA BIODEGRADABLE</t>
  </si>
  <si>
    <t>5313160892183500</t>
  </si>
  <si>
    <t>5313160892183500 JABON ANTIBACTERIAL, REPUESTO PARA DISPENSADOR, PH MAXIMO 9% PRESENTACION EMPAQUE</t>
  </si>
  <si>
    <t xml:space="preserve">29904055000120  </t>
  </si>
  <si>
    <t>29904-055-000120 PANTALON IMPERMEABLE</t>
  </si>
  <si>
    <t>4618161192030207</t>
  </si>
  <si>
    <t>4618161192030207 BOTAS DE HULE, CAÑA ALTA</t>
  </si>
  <si>
    <t xml:space="preserve">20402240000200      </t>
  </si>
  <si>
    <t>20402-240-000200 REPUESTOS PARA EQUIPO DE AIRE ACONDICIONADO</t>
  </si>
  <si>
    <t>2517250492003003</t>
  </si>
  <si>
    <t>2517250492003003 LLANTA 245/70R16, RADIAL, TUBULAR, TACO DOBLE SERVICIO, 6 CAPAS</t>
  </si>
  <si>
    <t>2611170390031685</t>
  </si>
  <si>
    <t>2611170390031685 BATERIAS PARA EQUIPO DE TRASNPORTES BARREDORA</t>
  </si>
  <si>
    <t xml:space="preserve">29903430020152  </t>
  </si>
  <si>
    <t>29903-430-020152 TOALLA DE PAPEL INTERFOLIADA PARA MANO, PARA USO DE DISPENSADOR</t>
  </si>
  <si>
    <t xml:space="preserve">3120151692008712    </t>
  </si>
  <si>
    <t>3120151692008712 CINTA REFLECTIVA</t>
  </si>
  <si>
    <t>4410310392068198</t>
  </si>
  <si>
    <t>4410310392068198 TONER HP CF361A(508A) COLOR CYAN, IMPRESORA LASERTJET M551DN</t>
  </si>
  <si>
    <t>4410310392068343</t>
  </si>
  <si>
    <t>4410310392068343 TONER HP CF363A COLOR MAGENTA, IMPRESORA LASERTJET M551DN</t>
  </si>
  <si>
    <t>4412150692120233 SOBRE DE MANILA N° 13 TAMAÑO OFICIO (PAQ. CON 50 UNIDADES)</t>
  </si>
  <si>
    <t>4412150692125993</t>
  </si>
  <si>
    <t>4412150692125993 SOBRE DE MANILA N° 14 DE 25.1 X 38.1 CMS</t>
  </si>
  <si>
    <t>4412201192013459 CARPETAS DE MANILA TAMAÑO CARTA AMARILLO</t>
  </si>
  <si>
    <t xml:space="preserve">5313160892102031    </t>
  </si>
  <si>
    <t>5313160892102031 JABON BACTERICIDA LIQUIDO PARA MANOS 800ml TIPO REPUESTO</t>
  </si>
  <si>
    <t>1411150792123653 PAPEL BOND RESMA COLOR CELESTE 75grs</t>
  </si>
  <si>
    <t xml:space="preserve"> -   </t>
  </si>
  <si>
    <t>3116241892146508</t>
  </si>
  <si>
    <t>29903-430-020152 TOALLA DE PAPEL INTERFOLIADA PARA MANO, PARA USO D</t>
  </si>
  <si>
    <t>3116241892146508 AMARRA PLASTICA</t>
  </si>
  <si>
    <t>3120163292041965</t>
  </si>
  <si>
    <t>3120163292041965 GOMA DE SILICONE FRIO</t>
  </si>
  <si>
    <t>4410310392078166</t>
  </si>
  <si>
    <t>4410310392078166 TONNER PARA FAX BROTHER PC-501</t>
  </si>
  <si>
    <t>4412150692125993 SOBRE DE MANILA N° 14 DE 25.1 X 38.1 cms</t>
  </si>
  <si>
    <t>4412170690029700</t>
  </si>
  <si>
    <t>4412170690029700 LAPIZ MINA NEGRA HB</t>
  </si>
  <si>
    <t>4412170892125330 MARCADOR COLOR AZUL/ PERMANENTE/ PUNTA REDONDA</t>
  </si>
  <si>
    <t>4412171692124982</t>
  </si>
  <si>
    <t>4412171692124982 MARCADOR RESALTADOR COLOR VERDE FOSFORECENTE, PUNTA GRUESA</t>
  </si>
  <si>
    <t>5147190192056766 ALCOHOL DE 90°</t>
  </si>
  <si>
    <t>5313160892102031</t>
  </si>
  <si>
    <t>5313160892102031 JABON BACTERICIDA LIQUIDO PARA MANOS 800ml TIPO</t>
  </si>
  <si>
    <t>5313160992006690</t>
  </si>
  <si>
    <t>5313160992006690 BLOQUEADOR SOLAR</t>
  </si>
  <si>
    <t>6012130192068926</t>
  </si>
  <si>
    <t>6012130192068926 GUILLOTINA MANUAL PARA CORTAR PAPEL</t>
  </si>
  <si>
    <t>1019150992031792</t>
  </si>
  <si>
    <t>1019150992031792 INSECTICIDA EN AEROSOL</t>
  </si>
  <si>
    <t>1411153190003158</t>
  </si>
  <si>
    <t>1411153190003158 CUADERNO RAYADO COMUN DE 50 HOJAS</t>
  </si>
  <si>
    <t>1411153192018049</t>
  </si>
  <si>
    <t>1411153192018049 LIBROS DE ACTAS, DE 100 FOLIOS</t>
  </si>
  <si>
    <t>1411170490032316 PAPEL LEDGER, TAMANO CARTA</t>
  </si>
  <si>
    <t>1411182992146264</t>
  </si>
  <si>
    <t>1411182992146264 CUBO DE PAPEL BLANCO 10 CMS X 10 CMS</t>
  </si>
  <si>
    <t>1512152090013081</t>
  </si>
  <si>
    <t>20101</t>
  </si>
  <si>
    <t>1512152090013081 ACEITE LUBRICANTE</t>
  </si>
  <si>
    <t>20199-030-000301 NEUTRALIZADOR DE MALOS OLORES</t>
  </si>
  <si>
    <t>2517250490017816</t>
  </si>
  <si>
    <t>2517250490017816 LLANTA 225/65/R17, RADIAL, TUBULAR, TACO DOBLE SERVICIO, 4 CAPAS</t>
  </si>
  <si>
    <t>2517250492002723</t>
  </si>
  <si>
    <t>2517250492002723 LLANTA 195/65 R15 RADIAL TUBULAR TACO CARRETERA</t>
  </si>
  <si>
    <t>2517250492006241</t>
  </si>
  <si>
    <t>2517250492006241 LLANTA 245/75R16 RADIAL, TUBULAR, TACO DOBLE</t>
  </si>
  <si>
    <t>2611170792008585</t>
  </si>
  <si>
    <t>2611170792008585-BATERIAS PARA EQUIPO DE COMUNICACION</t>
  </si>
  <si>
    <t>3018161492012403</t>
  </si>
  <si>
    <t>3018161492012403 DISPENSADOR PARA JABON</t>
  </si>
  <si>
    <t>3115151292060921</t>
  </si>
  <si>
    <t>3115151292060921 CUERDA DE POLIETILENO</t>
  </si>
  <si>
    <t>3115210292013879</t>
  </si>
  <si>
    <t>3115210292013879 MECATE DE NYLON</t>
  </si>
  <si>
    <t>4410200192050321</t>
  </si>
  <si>
    <t>4410200192050321 FUNDAS DE PLASTICO P/LAMINACION DE CARNETS</t>
  </si>
  <si>
    <t>4410312492133434</t>
  </si>
  <si>
    <t>4410312492133434 CINTA IMPRESORA TERMICA A COLOR</t>
  </si>
  <si>
    <t>4410312492133443</t>
  </si>
  <si>
    <t>4410312492133443 CINTA IMPRESORA TERMICA DE RETRANSFERENCIA</t>
  </si>
  <si>
    <t>4412170492068330 BOLIGRAFOS COLOR AZUL X UNIDADES</t>
  </si>
  <si>
    <t>4412170492068332 BOLIGRAFOS COLOR ROJO X UNIDAD</t>
  </si>
  <si>
    <t>4412200292070178 PROTECTORES DE PLASTICO (FUNDAS PLASTICAS) PARA HOJAS 21.6cm X 27.8cm</t>
  </si>
  <si>
    <t>4615150592071980</t>
  </si>
  <si>
    <t>4615150592071980 POSTE DIVISORIO UNIFILA</t>
  </si>
  <si>
    <t>4616150892019217</t>
  </si>
  <si>
    <t>4616150892019217 CONO DE SEGURIDAD REFLECTIVO DE PVC </t>
  </si>
  <si>
    <t>4617150192126833</t>
  </si>
  <si>
    <t>4617150192126833 CANDADO DE 50 MM</t>
  </si>
  <si>
    <t>4713171092068941</t>
  </si>
  <si>
    <t>4713171092068941 DISPENSADOR PARA PAPEL HIGIENICO (SOLO DISPOSITIVO)</t>
  </si>
  <si>
    <t>4713182892013359</t>
  </si>
  <si>
    <t>4713182892013359 SHAMPOO PARA VEHICULOS</t>
  </si>
  <si>
    <t>5210150592035476</t>
  </si>
  <si>
    <t>5210150592035476 ALFOMBRA DE HULE</t>
  </si>
  <si>
    <t>5310319992079963 CHALECO REFLECTIVOS DE SEGURIDAD</t>
  </si>
  <si>
    <t>5512171592068190</t>
  </si>
  <si>
    <t>5512171592068190 PABELLON NACIONAL, BANDERA</t>
  </si>
  <si>
    <t>5512190592064990</t>
  </si>
  <si>
    <t>5512190592064990 ASTA PARA BANDERA</t>
  </si>
  <si>
    <t>Traspaso N°08/ BO</t>
  </si>
  <si>
    <t>1111161190030219</t>
  </si>
  <si>
    <t>20302</t>
  </si>
  <si>
    <t>1111161190030219 ARENA TIPO TAJO POR METRO CUBICO</t>
  </si>
  <si>
    <t>1111161190034101</t>
  </si>
  <si>
    <t>1111161190034101 PIEDRA</t>
  </si>
  <si>
    <t>1112161092011028</t>
  </si>
  <si>
    <t>20303</t>
  </si>
  <si>
    <t>1112161092011028 REGLA DE 2.54 X 5.08 CMS X 3,34 MTS</t>
  </si>
  <si>
    <t>1216230592136493</t>
  </si>
  <si>
    <t>1216230592136493 ACELERANTES PARA FRAGUA</t>
  </si>
  <si>
    <t>1511150692058195</t>
  </si>
  <si>
    <t>1511150692058195 GAS ACETILENO, PRESENTACION CILINDRO 6 kg, PARA USO CON EQUIPOS DE OXICORTE</t>
  </si>
  <si>
    <t>1512152092156499</t>
  </si>
  <si>
    <t>1512152092156499 ACEITE USO DOMESTICO SIMILAR A 3 EN 1</t>
  </si>
  <si>
    <t>1512159792031421</t>
  </si>
  <si>
    <t>1512159792031421 LUBRICANTE PENETRANTE</t>
  </si>
  <si>
    <t>1512190290028220</t>
  </si>
  <si>
    <t>1512190290028220 GRASA MULTIPROPOSITO</t>
  </si>
  <si>
    <t xml:space="preserve">20101005000010  </t>
  </si>
  <si>
    <t>20101-005-000010 DIESEL (LITROS)</t>
  </si>
  <si>
    <t xml:space="preserve">20101010000261  </t>
  </si>
  <si>
    <t>20101-010-000261 ACEITE LUBRICANTE MOTOR FUERA DE BORDA</t>
  </si>
  <si>
    <t xml:space="preserve">20101010000320  </t>
  </si>
  <si>
    <t>20101-010-000320 ACEITE HIDRAULICO</t>
  </si>
  <si>
    <t xml:space="preserve">20101010001010      </t>
  </si>
  <si>
    <t>20101-010-001010 LIQUIDO PARA FRENO</t>
  </si>
  <si>
    <t xml:space="preserve">20101010001255  </t>
  </si>
  <si>
    <t>20101-010-001255 ACEITE LUBRICANTE SAE 10W</t>
  </si>
  <si>
    <t xml:space="preserve">20101010001312  </t>
  </si>
  <si>
    <t>20101-010-001312 ACEITE LUBRICANTE 15W40</t>
  </si>
  <si>
    <t xml:space="preserve">20101010005306      </t>
  </si>
  <si>
    <t>20101-010-005306 ACEITE LUBRICANTE PARA CADENA Y ESPADAS DE MOTOSIERRAS</t>
  </si>
  <si>
    <t xml:space="preserve">20101010005005  </t>
  </si>
  <si>
    <t>20101-010-005005 ACEITE LUBRICANTE SAE 80W-90</t>
  </si>
  <si>
    <t xml:space="preserve">20101010006400      </t>
  </si>
  <si>
    <t>20101-010-006400 ACEITE SINTETICO</t>
  </si>
  <si>
    <t xml:space="preserve">20101900121340      </t>
  </si>
  <si>
    <t>20101-900-121340 ANTICONGELANTE PARA RADIADOR</t>
  </si>
  <si>
    <t xml:space="preserve">20104001000050      </t>
  </si>
  <si>
    <t>20104-001-000050 PINTURA ANTICORROSIVA DE ALUMINIO EN ACEITE, ENVASE 3.785 L</t>
  </si>
  <si>
    <t xml:space="preserve">20104080000100      </t>
  </si>
  <si>
    <t>20104-080-000100 THINNER SEMI-FINO</t>
  </si>
  <si>
    <t xml:space="preserve">20104210000141      </t>
  </si>
  <si>
    <t>20104-210-000141 ESMALTE ANTICORROSIVO EN ACEITE DE SECADO RAPIDO (FAST DRY) COLOR AMARILLO JOHN</t>
  </si>
  <si>
    <t xml:space="preserve">20104220000122      </t>
  </si>
  <si>
    <t>20104-220-000122 PINTURA GRIS EPOXICA</t>
  </si>
  <si>
    <t xml:space="preserve">20104955010021 </t>
  </si>
  <si>
    <t>20104-955-010021 PINTURA ACRILICA MATE CELESTE</t>
  </si>
  <si>
    <t xml:space="preserve">20199020000001  </t>
  </si>
  <si>
    <t>20199-020-000001 HIPOCLORITO DE SODIO-CLORO</t>
  </si>
  <si>
    <t xml:space="preserve">20199900000025  </t>
  </si>
  <si>
    <t>20199-900-000025 CILINDRO DE OXIGENO</t>
  </si>
  <si>
    <t xml:space="preserve">20199900000045  </t>
  </si>
  <si>
    <t>20199-900-000045 GAS CO2 PARA SOLDAR</t>
  </si>
  <si>
    <t xml:space="preserve">20301005000006      </t>
  </si>
  <si>
    <t>20301-005-000006 BISAGRA, DE ACERO GALVANIZADO, TIPO GUIJOS PLATINA, SOLDABLE, DE 50,8 mm (2 PULG) DE ANCHO X 127mm (5 PULG) DE LARGO</t>
  </si>
  <si>
    <t xml:space="preserve">20301005000007      </t>
  </si>
  <si>
    <t>20301-005-000007 BISAGRA DE ACERO GALVANIZADO (GUIJO), MEDIDAS 50,8 mm DE ANCHO X 76,02 mm DE LARGO (2 PULG X 3 PULG) GRAN MOVILIDAD</t>
  </si>
  <si>
    <t xml:space="preserve">20301010000082  </t>
  </si>
  <si>
    <t>20301-010-000082 LLAVIN DE PERILLA CON LLAVE</t>
  </si>
  <si>
    <t xml:space="preserve">20301040000760      </t>
  </si>
  <si>
    <t>20301-040-000760 LAMINA DE HIERRO GALVANIZADA LISA #26 MEDIDAS 1.22 m ANCHO x 2.44 m LARGO</t>
  </si>
  <si>
    <t xml:space="preserve">20301180001840  </t>
  </si>
  <si>
    <t>20301-180-001840 SOLDADURA PARA HIERRO DULCE ACERO DUCTIL</t>
  </si>
  <si>
    <t xml:space="preserve">20301180090101  </t>
  </si>
  <si>
    <t>20301-180-090101 SOLDADURA PARA MIG</t>
  </si>
  <si>
    <t xml:space="preserve">20301925050032      </t>
  </si>
  <si>
    <t>20301-925-050032 LAMINA PUNTA DIAMANTE 1/8 HIERRO INDUSTRIAL DE 1.22 X 2.44 CM</t>
  </si>
  <si>
    <t xml:space="preserve">20301930100533  </t>
  </si>
  <si>
    <t>20301-930-100533 TORNILLO PARA GYPSUM 1 1/2, 3.81 CMS CABEZA AVELLANADA</t>
  </si>
  <si>
    <t xml:space="preserve">20302001000001  </t>
  </si>
  <si>
    <t>20302-001-000001 ASFALTO</t>
  </si>
  <si>
    <t xml:space="preserve">20302095000200      </t>
  </si>
  <si>
    <t>20302-095-000200 PIEDRA BRUTA</t>
  </si>
  <si>
    <t xml:space="preserve">20302900010101  </t>
  </si>
  <si>
    <t>20302-900-010101 MEZCLA ASFALTICA EN FRIO EN BOLSAS DE 25KG</t>
  </si>
  <si>
    <t xml:space="preserve">20303045000005      </t>
  </si>
  <si>
    <t>20303045000005-REGLA DE MADERA - Acarreo</t>
  </si>
  <si>
    <t xml:space="preserve">20304055000005  </t>
  </si>
  <si>
    <t>20304</t>
  </si>
  <si>
    <t>20304-055-000005 LAMPARA COMPLETA DE BORDE DE PISTA 120 W (FRASCO COLOR BLANCO)</t>
  </si>
  <si>
    <t xml:space="preserve">20304055000006  </t>
  </si>
  <si>
    <t>20304-055-000006 LAMPARA COMPLETA CALLE DE RODAJE FAA L-861 45W (FRASCO COLOR AZUL)</t>
  </si>
  <si>
    <t xml:space="preserve">20304055000007  </t>
  </si>
  <si>
    <t>20304-055-000007 LAMPARA COMPLETA DE UMBRAL DE PISTA 120 W (FRASCO BICOLOR AZUL)</t>
  </si>
  <si>
    <t xml:space="preserve">20304055000013  </t>
  </si>
  <si>
    <t>20304-055-000013 LAMPARA LED VERTICAL PARA EXTERIORES DE 13W IP65</t>
  </si>
  <si>
    <t xml:space="preserve">20304055000014  </t>
  </si>
  <si>
    <t>20304-055-000014 LAMPARA TIPO ENCOUNTER DE 1,22 X 0,30 METROS PARA CIELO SUSPENDIDO 5500K, 29W, 3200 LUM</t>
  </si>
  <si>
    <t xml:space="preserve">20304055000015  </t>
  </si>
  <si>
    <t>20304-055-000015 LAMPARA UL 208 WING LED ECO C/TUBOS 2X18W 6500K</t>
  </si>
  <si>
    <t xml:space="preserve">20304055000016  </t>
  </si>
  <si>
    <t>20304-055-000016 LAMPARA LED CIRCULAR TIPO PANEL DE 18W, 6500K, 1200 LM, 120/277V</t>
  </si>
  <si>
    <t xml:space="preserve">20304055000017  </t>
  </si>
  <si>
    <t>20304-055-000017 LUZ ELEVADA LED PARA BORDE DE PISTA BLANCA</t>
  </si>
  <si>
    <t xml:space="preserve">203041200000010     </t>
  </si>
  <si>
    <t>20304-120-0000010 PANTALLA LCD PARA MODULO ACE 2, NUMERO DE PARTE 4A6494</t>
  </si>
  <si>
    <t xml:space="preserve">20304120000006  </t>
  </si>
  <si>
    <t>20304-120-000006 KIT TARJETA CONTROL LL5900 AUTOLAYOUT</t>
  </si>
  <si>
    <t xml:space="preserve">20304120000007  </t>
  </si>
  <si>
    <t>20304-120-000007 KIT CAPACITOR, IGNITOR Y TRANSFORMADOR PARA LAMPARA DE SODIO DE 1000W</t>
  </si>
  <si>
    <t xml:space="preserve">20304120000008  </t>
  </si>
  <si>
    <t>20304-120-000008 CONTROL ELECTRICO DE VELOCIDAD PARA ABANICO</t>
  </si>
  <si>
    <t xml:space="preserve">20304120000009      </t>
  </si>
  <si>
    <t>20304-120-000009 TARJETA ELECTRONICA DE CONTROL PARA MODULO ACE2, NUMERO DE PARTE 44A6377</t>
  </si>
  <si>
    <t xml:space="preserve">20304125000461  </t>
  </si>
  <si>
    <t>20304-125-000461 INTERRUPTOR PRESION (PRESOSTATO) RANGO PRESION DE 1.37 bar A 2,75 bar (20-40 psi)</t>
  </si>
  <si>
    <t xml:space="preserve">20304130000004  </t>
  </si>
  <si>
    <t>20304-130-000004 CABLE THHN #8 NEGRO</t>
  </si>
  <si>
    <t xml:space="preserve">20304130000006  </t>
  </si>
  <si>
    <t>20304-130-000006 CABLE ELECTRICO DE COBRE FORRADO COLOR NEGRO TIPO TGP, LINEAS 3 X 12 AWG PARA 60 V</t>
  </si>
  <si>
    <t xml:space="preserve">20304130006491  </t>
  </si>
  <si>
    <t>20304-130-006491 CABLE DE COBRE FORRADO PARA 600 V # 10 AWG AZUL THHN</t>
  </si>
  <si>
    <t xml:space="preserve">20304130006495  </t>
  </si>
  <si>
    <t>20304-130-006495 CABLE THHN #12 AZUL</t>
  </si>
  <si>
    <t xml:space="preserve">20304130006496  </t>
  </si>
  <si>
    <t>20304-130-006496 CABLE THHN #12 VERDE</t>
  </si>
  <si>
    <t xml:space="preserve">20304150001420  </t>
  </si>
  <si>
    <t>20304-150-001420 CONECTORES TSJ 1/2"</t>
  </si>
  <si>
    <t xml:space="preserve">20304165000101  </t>
  </si>
  <si>
    <t>20304-165-000101 TOMA DE HULE CON ABRAZADERA 3 HUECOS PARA EXTENSION</t>
  </si>
  <si>
    <t xml:space="preserve">20304165000401  </t>
  </si>
  <si>
    <t>20304-165-000401 ENCHUFE PLASTICO, 125 V, 20 A, 2 POLOS, 3 HILOS, NEMA L5-20P, EXTEN. ELECTRICA</t>
  </si>
  <si>
    <t xml:space="preserve">20304270000026  </t>
  </si>
  <si>
    <t>20304-270-000026 BREAKER 100AMP 2P</t>
  </si>
  <si>
    <t xml:space="preserve">20304270000050  </t>
  </si>
  <si>
    <t>20304-270-000050 BREAKER 40AMP 2P</t>
  </si>
  <si>
    <t xml:space="preserve">20304270000071  </t>
  </si>
  <si>
    <t>20304-270-000071 BREAKER 60AMP 2 POLOS CH260</t>
  </si>
  <si>
    <t xml:space="preserve">20304445000220  </t>
  </si>
  <si>
    <t>20304-445-000220 BALASTRO PARA LUZ DE EMERGENCIA</t>
  </si>
  <si>
    <t xml:space="preserve">20304900000154  </t>
  </si>
  <si>
    <t>20304-900-000154 ACOPLAMIENTO FRANGIBLE PARA CONO DE VIENTO L-806 "FRANGIBLE COUPLING1800-0025"</t>
  </si>
  <si>
    <t xml:space="preserve">20304940250125  </t>
  </si>
  <si>
    <t>20304-940-250125 BOMBILLO METALARC DE 1000W M47 R M1000IU</t>
  </si>
  <si>
    <t xml:space="preserve">20304940280010  </t>
  </si>
  <si>
    <t>20304-940-280010 SENSOR DE HUMO FOTOELECTRICO</t>
  </si>
  <si>
    <t xml:space="preserve">20306075001402      </t>
  </si>
  <si>
    <t>20306-075-001402 LAMINA DE POLICARBONATO TRANSPARENTE ONDULADA DE 0,8M X 3,66M</t>
  </si>
  <si>
    <t xml:space="preserve">20306075001403      </t>
  </si>
  <si>
    <t>20306-075-001403 LAMINA DE POLICARBONATO TRANSPARENTE ONDULADA DE 0,8M X 1,83M</t>
  </si>
  <si>
    <t xml:space="preserve">20399050000600  </t>
  </si>
  <si>
    <t>20399</t>
  </si>
  <si>
    <t>20399-050-000600 LIJA EN BANDA # 120</t>
  </si>
  <si>
    <t xml:space="preserve">20399395000502  </t>
  </si>
  <si>
    <t>20399-3950-00502 LLAVE PARA LAVATORIO DOBLE</t>
  </si>
  <si>
    <t>Traspaso N°08</t>
  </si>
  <si>
    <t xml:space="preserve">20401900000097      </t>
  </si>
  <si>
    <t>20401900000097-RASTRILLO-AZADON - ACARREO</t>
  </si>
  <si>
    <t xml:space="preserve">20401900005801  </t>
  </si>
  <si>
    <t>20401-900-005801 ESLINGA AMARRE TIPO 4T DE 2 P, 50,8mm ANCHO X 6m DE LARGO,C/2 GANCHOS DOBLES</t>
  </si>
  <si>
    <t xml:space="preserve">20401905010047  </t>
  </si>
  <si>
    <t>20401-905-010047 FELPA PARA PINTAR DE 9</t>
  </si>
  <si>
    <t>Mediante BO/6059</t>
  </si>
  <si>
    <t xml:space="preserve">20402045000101  </t>
  </si>
  <si>
    <t>20402-045-000101 POLY CHAIN CARBON 14MGT-1400-20 VGA-GATES FAJA DE TRANSMISION (CORREA)</t>
  </si>
  <si>
    <t xml:space="preserve">20402045003280  </t>
  </si>
  <si>
    <t>20402-045-003280 MANGUERA PARA MAQUINARIA Y EQUIPO</t>
  </si>
  <si>
    <t>mediante BO</t>
  </si>
  <si>
    <t xml:space="preserve">20402100000202  </t>
  </si>
  <si>
    <t>20402-100-000202 FILTRO ACEITE RE504836</t>
  </si>
  <si>
    <t>2410150690033540</t>
  </si>
  <si>
    <t>2410150690033540 CARRETILLO</t>
  </si>
  <si>
    <t>2410163792159088</t>
  </si>
  <si>
    <t>2410163792159088 LINGA DE AMARRE</t>
  </si>
  <si>
    <t>2411240192029736</t>
  </si>
  <si>
    <t>2411240192029736 CAJA VACIA PARA HERRAMIENTAS 508mm MEDIDAS 510 X 290 X 245mm</t>
  </si>
  <si>
    <t>2517250392030430</t>
  </si>
  <si>
    <t>2517250392030430 LLANTA DE MONTACARGAS DE CAUCHO 650 X 10, INDICE DE CARGA DE 3.000 kg (146)</t>
  </si>
  <si>
    <t>Traspaso N°03</t>
  </si>
  <si>
    <t>2610179892058862</t>
  </si>
  <si>
    <t>2610179892058862 JUEGO DE REPUESTOS # 5.3404.0 PARA PLANTA ENERGIA</t>
  </si>
  <si>
    <t>Traspaso N°06</t>
  </si>
  <si>
    <t>Traspaso N°14</t>
  </si>
  <si>
    <t>2611170292124305-BATERIA ALCALINA TIPO AAA</t>
  </si>
  <si>
    <t>2611170390031685 BATERIAS PARA EQUIPO DE TRANSPORTES BARREDORA</t>
  </si>
  <si>
    <t>2612154090040950</t>
  </si>
  <si>
    <t>2612154090040950 ALAMBRE GALVANIZADO N° 16</t>
  </si>
  <si>
    <t>2612154092017404</t>
  </si>
  <si>
    <t>2612154092017404 ALAMBRE GALVANIZADO N° 14  27 kg</t>
  </si>
  <si>
    <t>2612163490011940</t>
  </si>
  <si>
    <t>2612163490011940 CABLE THHN # 12 COLOR BLANCO</t>
  </si>
  <si>
    <t>2612163490011945</t>
  </si>
  <si>
    <t>2612163490011945 CABLE DE COBRE FORRADO P/600 VOLTIOS # 10 AWG TIPO THHN NEGRO</t>
  </si>
  <si>
    <t>2612163490012077</t>
  </si>
  <si>
    <t>2612163490012077 CABLE TW/THW/THHN N° 4</t>
  </si>
  <si>
    <t>2612163492022340</t>
  </si>
  <si>
    <t>2612163492022340 CABLE TW/THW/THHN N° 8 COLOR VERDE</t>
  </si>
  <si>
    <t>2612163492022366</t>
  </si>
  <si>
    <t>2612163492022366 CABLE # 10 COLOR VERDE TW/THW/THHN</t>
  </si>
  <si>
    <t>2612163492027095</t>
  </si>
  <si>
    <t>2612163492027095 CABLE TW/THW/THHN N° 6</t>
  </si>
  <si>
    <t>2612163492062769</t>
  </si>
  <si>
    <t>2612163492062769 CABLE ELECTRICO COBRE FORRADO NEGRO TIPOTGP 600V</t>
  </si>
  <si>
    <t>2612163692009922</t>
  </si>
  <si>
    <t>2612163692009922 CORDON ELECTRICO TSJ CALIBRE 3X12 AWG, 25A</t>
  </si>
  <si>
    <t>2711151992052949</t>
  </si>
  <si>
    <t>2711151992052949 TIJERA PARA CORTAR METAL</t>
  </si>
  <si>
    <t>2711155292048048</t>
  </si>
  <si>
    <t>2711155292048048 MARCOS PARA SEGUETA</t>
  </si>
  <si>
    <t>2711160192035570</t>
  </si>
  <si>
    <t>2711160192035570 MACANA, CON CABO DE MADERA DURA 101.6mm X 304.8mm</t>
  </si>
  <si>
    <t>2711160292009178</t>
  </si>
  <si>
    <t>2711160292009178 MARTILLO CON CABO EN ACERO INOXIDABLE CUBIERTO EN HULE</t>
  </si>
  <si>
    <t>2711170792156320</t>
  </si>
  <si>
    <t>2711170792156320 LLAVE INGLESA</t>
  </si>
  <si>
    <t>2711172892146162</t>
  </si>
  <si>
    <t>2711172892146162 JUEGO DE DESATORNILLADORES</t>
  </si>
  <si>
    <t>2711172992009241</t>
  </si>
  <si>
    <t>2711172992009241 LLAVE ALLEN JUEGO DE 10 PIEZAS</t>
  </si>
  <si>
    <t>2711172992079172</t>
  </si>
  <si>
    <t>2711172992079172 LLAVE CORO-FIJA JUEGO DE 8 PIEZAS</t>
  </si>
  <si>
    <t>2711180190013222</t>
  </si>
  <si>
    <t>2711180190013222 CINTA METRICA DE METAL CMS. Y PULG.</t>
  </si>
  <si>
    <t>2711190790009533</t>
  </si>
  <si>
    <t>2711190790009533 CEPILLOS DE ACERO</t>
  </si>
  <si>
    <t>2711190990012506</t>
  </si>
  <si>
    <t>2711190990012506 ESPATULA</t>
  </si>
  <si>
    <t>2711200192020015</t>
  </si>
  <si>
    <t>2711200192020015 CUCHILLO (MACHETE) LABORES DE AGRICULTURA</t>
  </si>
  <si>
    <t>2711200392139009</t>
  </si>
  <si>
    <t>2711200392139009 RASTRILLO DE ACERO 350mm X 250mm</t>
  </si>
  <si>
    <t>2711200492071148</t>
  </si>
  <si>
    <t>2711200492071148 PALA CARRILERA 210mm X 240mm</t>
  </si>
  <si>
    <t>2711220192146229</t>
  </si>
  <si>
    <t>2711220192146229 CUCHARA PARA ALBAÑILERIA, DE 15.25 CMS</t>
  </si>
  <si>
    <t>2711220892007498</t>
  </si>
  <si>
    <t>2711220892007498 PIQUETA ACERO 500g MANGO DE MADERA</t>
  </si>
  <si>
    <t>2711280290007143</t>
  </si>
  <si>
    <t>2711280290007143 HOJA PARA SEGUETA</t>
  </si>
  <si>
    <t>2711283892005107</t>
  </si>
  <si>
    <t>2711283892005107 DISCO PARA CORTAR CONCRETO O PIEDRA 350mm X 25.4mm</t>
  </si>
  <si>
    <t>2711283892112315</t>
  </si>
  <si>
    <t>2711283892112315 DISCO ABRASIVO PARA ESMERILAR Y CORTAR 7"</t>
  </si>
  <si>
    <t>3010150390002897</t>
  </si>
  <si>
    <t>3010150390002897 ANGULAR DE ACERO DE 5.08 X 0.64cms X 6mts</t>
  </si>
  <si>
    <t>3010150390029216</t>
  </si>
  <si>
    <t>3010150390029216 ANGULAR DE 38 X 3MM X 6MTS</t>
  </si>
  <si>
    <t>3010150492054601</t>
  </si>
  <si>
    <t>3010150492054601 ANGULAR DE ACERO DE 2.54 X 0.64cms X 6mts</t>
  </si>
  <si>
    <t>3010160492021066</t>
  </si>
  <si>
    <t>3010160492021066  BARRA DE ACERO (VARILLA LISA) # 2 DE 6,35 mm X 6 m GRADO 40</t>
  </si>
  <si>
    <t xml:space="preserve">3010160492021066    </t>
  </si>
  <si>
    <t>3010160492021066 BARRA DE ACERO (VARILLA LISA) # 2 DE 6,35mm X 6mGRADO 40</t>
  </si>
  <si>
    <t>3010200392017861</t>
  </si>
  <si>
    <t>3010200392017861 LAMINA DE HIERRO NEGRO, LISA, MEDIDAS 6mm GROSOR X 1.22m X 2.44m LARGO</t>
  </si>
  <si>
    <t>3010200392028790</t>
  </si>
  <si>
    <t>3010200392028790 LAMINA DE H/G LISO N° 24 DE 1.22 X 2.44 mts</t>
  </si>
  <si>
    <t>3010200392043676</t>
  </si>
  <si>
    <t>3010200392043676 LAMINA DE H/G LISO N° 26 DE 1.07 X 2.44 mts</t>
  </si>
  <si>
    <t>3010200492004565</t>
  </si>
  <si>
    <t>3010200492004565 MALLA METALICA TIPO JORDOMEZ</t>
  </si>
  <si>
    <t>3010200492011552</t>
  </si>
  <si>
    <t>3010200492011552 LAMINA DE 3.17mm X 1.22m X 2.44m</t>
  </si>
  <si>
    <t>3010220392022429</t>
  </si>
  <si>
    <t>3010220392022429 PLATINA HN 5.08 X 0.63cms</t>
  </si>
  <si>
    <t>3010220392051453</t>
  </si>
  <si>
    <t>3010220392051453 PLATINA HN 2.54 X 0.31cms</t>
  </si>
  <si>
    <t>3010220392091773</t>
  </si>
  <si>
    <t>3010220392091773 PLATINA HN 2.54 X 0.47cms</t>
  </si>
  <si>
    <t>3010230392032641</t>
  </si>
  <si>
    <t>3010230392032641 PERFIL RTG 1-16, 100 X 50 X 15 MM EN 1.50 MM DE ESPESOR DE 6 MTS</t>
  </si>
  <si>
    <t>3010230392041163</t>
  </si>
  <si>
    <t>3010230392041163 TUBO CUADRADO HG 2" X 2"</t>
  </si>
  <si>
    <t>3010230392041717</t>
  </si>
  <si>
    <t>3010230392041717 TUBO CUADRADO HG DE 3" X 3"</t>
  </si>
  <si>
    <t>3010230392043697</t>
  </si>
  <si>
    <t>3010230392043697 TUBO CUADRADO HN DE 1 1/2" X 1 1/2"</t>
  </si>
  <si>
    <t>3010230392058773</t>
  </si>
  <si>
    <t>3010230392058773 TUBO CUADRADO HG DE 1" X 1"</t>
  </si>
  <si>
    <t>3010230392163340</t>
  </si>
  <si>
    <t>3010230392163340 TUBO HG REDONDO DE 2 1/4"</t>
  </si>
  <si>
    <t>3010240392040165</t>
  </si>
  <si>
    <t>3010240392040165 VARILLA HIERRO DEFORMADA # 4</t>
  </si>
  <si>
    <t>3010240392070275</t>
  </si>
  <si>
    <t>3010240392070275 VARILLA DE CONSTRUCCION CORRUGADA # 3</t>
  </si>
  <si>
    <t>3010240392147706</t>
  </si>
  <si>
    <t>3010240392147706 VARILLA DE HIERRO REDONDO</t>
  </si>
  <si>
    <t>3010320192010838</t>
  </si>
  <si>
    <t>3010320192010838 MALLA CICLON GALBANIZADA # 10 X 1 METRO DE ALTURA</t>
  </si>
  <si>
    <t>3010360492016216</t>
  </si>
  <si>
    <t>3010360492016216 MADERA CONTRACHAPADA DE 1.22 X 2.44 MTS X 5.5 MM</t>
  </si>
  <si>
    <t>3010360492016225</t>
  </si>
  <si>
    <t>3010360492016225 MADERA CONTRACHAPADA DE 1.22 X 2.44 MTS X 18 MM</t>
  </si>
  <si>
    <t>3010360492016226</t>
  </si>
  <si>
    <t>3010360492016226 MADERA CONTRACHAPADA DE 1.22 X 2.44 MTS X 12 MM</t>
  </si>
  <si>
    <t>3010360492021070</t>
  </si>
  <si>
    <t>3010360492021070 MADERA CONTRACHAPADA DE 1.22 X 2.44 MTS X 15 MM</t>
  </si>
  <si>
    <t>3010360592006886</t>
  </si>
  <si>
    <t>3010360592006886 MADERA CONTRACHAPADA DE 1.22 X 2.44 MTS X 9MM</t>
  </si>
  <si>
    <t>3010360592072155</t>
  </si>
  <si>
    <t>3010360592072155 TABLA DE FORMALETA DE 2.54 X 30.48 CMS</t>
  </si>
  <si>
    <t>3010360592135183</t>
  </si>
  <si>
    <t>3010360592135183 REGLA DE 2.54 X 10.16 CMS</t>
  </si>
  <si>
    <t>3011150490016942</t>
  </si>
  <si>
    <t>3011150490016942 CONCRETO PRE MEZCLADO-TIPO CONCREMIX</t>
  </si>
  <si>
    <t>3011150492011550</t>
  </si>
  <si>
    <t>3011150492011550 MORTERO/PEGAMENTO EN POLVO PARA PEGAR CERAMICA</t>
  </si>
  <si>
    <t>3011150492069527</t>
  </si>
  <si>
    <t>3011150492069527 MORTERO 400Kg/cm2 SACO DE 25kg</t>
  </si>
  <si>
    <t>3011160190014645</t>
  </si>
  <si>
    <t>3011160190014645 CEMENTO 50kg</t>
  </si>
  <si>
    <t>3013150290017877</t>
  </si>
  <si>
    <t>3013150290017877 BLOCK DE CONCRETO  12 X 20 X 40cms</t>
  </si>
  <si>
    <t>3015180292030828</t>
  </si>
  <si>
    <t>3015180292030828 LAMINA FIBROCEMENTO-FIBROLIT 100- 122 X 244 CMS X 6MM</t>
  </si>
  <si>
    <t>3015200390019944</t>
  </si>
  <si>
    <t>3015200390019944 LAMINA DE CEMENTO PLYCEM FIBROLIT 122 X 305 CMS X 8 MM</t>
  </si>
  <si>
    <t>3015200392004368</t>
  </si>
  <si>
    <t>3015200392004368 LAMINA DE CEMENTO PLYCEM FIBROLIT 1.22 X 0.61M X 11 MM</t>
  </si>
  <si>
    <t>3016150990020002</t>
  </si>
  <si>
    <t>3016150990020002 LAMINA GYPSUM 122 X 244 X 12.7MM</t>
  </si>
  <si>
    <t>3016160492132658</t>
  </si>
  <si>
    <t>3016160492132658 CIELOS SUSPENDIDOS</t>
  </si>
  <si>
    <t>3017150490031853</t>
  </si>
  <si>
    <t>3017150490031853 PUERTA DE MADERA 2.10 MTS X 0.90 MTS</t>
  </si>
  <si>
    <t>3017151490030101</t>
  </si>
  <si>
    <t>3017151490030101 CIERRA PUERTA Nº 3 DE ALUMINIO NATURAL, CON TORNILLO DE REGULACION</t>
  </si>
  <si>
    <t>3017170692060619</t>
  </si>
  <si>
    <t>20305</t>
  </si>
  <si>
    <t>3017170692060619 VIDRIO CLARO TEMPERADO DE 6mm DE ESPESOR</t>
  </si>
  <si>
    <t>Traspaso N°11</t>
  </si>
  <si>
    <t>3018150492076590</t>
  </si>
  <si>
    <t>3018150492076590 LAVATORIO DE PORCELANA DE 470mm X 370mm X 185mm DE ALTO SIN PEDESTAL</t>
  </si>
  <si>
    <t>3018150692010195</t>
  </si>
  <si>
    <t>3018150692010195 MINGITORIO-ORINALES-URINARIO BLANCO</t>
  </si>
  <si>
    <t>3018151190028805</t>
  </si>
  <si>
    <t>3018151190028805 INODOROS DE TANQUE COLOR BLANCO</t>
  </si>
  <si>
    <t>3018151992040268</t>
  </si>
  <si>
    <t>3018151992040268 LLAVES DOBLES PARA FREGADERO</t>
  </si>
  <si>
    <t>3018151992073089</t>
  </si>
  <si>
    <t>3018151992073089 LIJA PARA AGUA N° 100</t>
  </si>
  <si>
    <t>3018151992084042</t>
  </si>
  <si>
    <t>3018151992084042 LLAVE PARA LAVATORIO</t>
  </si>
  <si>
    <t>3018160392012396</t>
  </si>
  <si>
    <t>3018160392012396 ASIENTO PARA INODORO ELONGADO COLOR BLANCO</t>
  </si>
  <si>
    <t>3018160392012397</t>
  </si>
  <si>
    <t>3018160392012397 ASIENTO REDONDO PARA INODORO DE PLASTICO INYECTADO COLOR BLANCO</t>
  </si>
  <si>
    <t>3113371192049098</t>
  </si>
  <si>
    <t>3113371192049098 SELLADOR ADHESIVO POLIURETANO, FLEXIBLE E IMPERMEABLE, ENVASE 300ml</t>
  </si>
  <si>
    <t>3115200292013776</t>
  </si>
  <si>
    <t>3115200292013776 ALAMBRE DE PUAS CALIBRE 16</t>
  </si>
  <si>
    <t>3115210292161411</t>
  </si>
  <si>
    <t>3115210292161411 CUERDA PARA MOTOGUADAÑA, CHILILLO NYLON 3.5mm, COLOR NEGRO</t>
  </si>
  <si>
    <t>3115220992010832</t>
  </si>
  <si>
    <t>3115220992010832 ALAMBRE NEGRO N° 16</t>
  </si>
  <si>
    <t>3116150792073352</t>
  </si>
  <si>
    <t>3116150792073352 TORNILLO FRIJOLILLO PUNTA DE BROCA N° 8 DE 2.54 CMS (1" Pulg) PUNTA BROCA</t>
  </si>
  <si>
    <t>3116150792118847</t>
  </si>
  <si>
    <t>3116150792118847 TORNILLO FRIJOLILLO PUNTA DE BROCA NO. 8 DE 1.27 CMS (1/2" Pulg) PUNTA BROCA</t>
  </si>
  <si>
    <t>3116150792152335</t>
  </si>
  <si>
    <t>3116150792152335 TORNILLO FRIJOLILLO PUNTA FINA N° 8 DE 1.27 CMS (1/2" Pulg) PUNTA FINA</t>
  </si>
  <si>
    <t>3116150792160840</t>
  </si>
  <si>
    <t>3116150792160840 TORNILLO FRIJOLILLO PUNTA FINA N° 8 DE 2.54 CMS (1" Pulg) PUNTA FINA</t>
  </si>
  <si>
    <t>3116150892033587</t>
  </si>
  <si>
    <t>3116150892033587 TORNILLO PARA MADERA CABEZA PLANA N° 8 DE 5.08 CMS</t>
  </si>
  <si>
    <t>3116160692105713</t>
  </si>
  <si>
    <t>3116160692105713 LLAVIN PARA ARCHIVADORES</t>
  </si>
  <si>
    <t>3116181092005341</t>
  </si>
  <si>
    <t>3116181092005341 ESPANDER PARA CONCRETO # 10</t>
  </si>
  <si>
    <t>3116181092040879</t>
  </si>
  <si>
    <t>3116181092040879 ESPANDER PARA CONCRETO # 8</t>
  </si>
  <si>
    <t>3116181092043910</t>
  </si>
  <si>
    <t>3116181092043910 ESPANDER PARA CONCRETO # 6</t>
  </si>
  <si>
    <t>3116200292007696</t>
  </si>
  <si>
    <t>3116200292007696 CLAVO DE HIERRO CON CABEZA 25.40mm</t>
  </si>
  <si>
    <t>3116200292007703</t>
  </si>
  <si>
    <t>3116200292007703 CLAVO DE HIERRO CON CABEZA DE 6.35cms</t>
  </si>
  <si>
    <t>3116200292007704</t>
  </si>
  <si>
    <t>3116200292007704 CLAVO DE HIERRO CON CABEZA DE 5.08cms</t>
  </si>
  <si>
    <t>3116200292014568</t>
  </si>
  <si>
    <t>3116200292014568 CLAVO DE ACERO CON CABEZA DE 32mm</t>
  </si>
  <si>
    <t>3116200292036762</t>
  </si>
  <si>
    <t>3116200292036762 CLAVO DE HIERRO CON CABEZA DE 1.91cms</t>
  </si>
  <si>
    <t>3116200292040173</t>
  </si>
  <si>
    <t>3116200292040173 CLAVO DE ACERO CON CABEZA DE 3.81cms</t>
  </si>
  <si>
    <t>3116200292046981</t>
  </si>
  <si>
    <t>3116200292046981 CLAVO DE HIERRO CON CABEZA DE 3.81cms</t>
  </si>
  <si>
    <t>3116200292076530</t>
  </si>
  <si>
    <t>3116200292076530 CLAVO DE ACERO CON CABEZA DE 6.35cms</t>
  </si>
  <si>
    <t>3116200390024555</t>
  </si>
  <si>
    <t>3116200390024555 CLAVO DE HIERRO SIN CABEZA DE 3.81cms</t>
  </si>
  <si>
    <t>3116200490018876</t>
  </si>
  <si>
    <t>3116200490018876 CLAVO DE ACERO CON CABEZA DE 5.08cms</t>
  </si>
  <si>
    <t>3116210392098860</t>
  </si>
  <si>
    <t>3116210392098860 ESPANDER PARA CONCRETO # 4</t>
  </si>
  <si>
    <t>3116210392198763</t>
  </si>
  <si>
    <t>3116210392198763 ESPANDER PARA GYPSUM # 6</t>
  </si>
  <si>
    <t>3116210392198764</t>
  </si>
  <si>
    <t>3116210392198764 ESPANDER PARA GYPSUM # 8</t>
  </si>
  <si>
    <t>3116210392206541</t>
  </si>
  <si>
    <t>3116210392206541 ESPANDER PARA GYPSUM # 10</t>
  </si>
  <si>
    <t>3116220192138538</t>
  </si>
  <si>
    <t>3116220192138538 REMACHE METALICO</t>
  </si>
  <si>
    <t>3116240390010059</t>
  </si>
  <si>
    <t>3116240390010059 BISAGRA DE ACERO, DE 76,20mm X 76,20mm</t>
  </si>
  <si>
    <t>3116240392008477</t>
  </si>
  <si>
    <t>3116240392008477 BIASAGRA DE HIERRO DE 2 1/2 x 3"</t>
  </si>
  <si>
    <t>3116241890013379</t>
  </si>
  <si>
    <t>3116241890013379 GAZA PLASTICA 12", UNA OREJA</t>
  </si>
  <si>
    <t>3116280492134802</t>
  </si>
  <si>
    <t>3116280492134802 TOPE PARA PUERTA</t>
  </si>
  <si>
    <t>3116321392161364</t>
  </si>
  <si>
    <t>3116321392161364 PIVOTES UNIVERSAL PARA PUERTA</t>
  </si>
  <si>
    <t>3117150492054131</t>
  </si>
  <si>
    <t>3117150492054131 ROL-RODAMIENTO DE BOLA</t>
  </si>
  <si>
    <t>3119150190029828</t>
  </si>
  <si>
    <t>3119150190029828 LIJA PARA MADERA N° 80</t>
  </si>
  <si>
    <t>3119150192003231</t>
  </si>
  <si>
    <t>3119150192003231 LIJA PARA AGUA N° 400</t>
  </si>
  <si>
    <t>3119150192007028</t>
  </si>
  <si>
    <t>3119150192007028 LIJA PARA MADERA N° 100</t>
  </si>
  <si>
    <t>3119151392035591</t>
  </si>
  <si>
    <t>3119151392035591 ESFERA DE VIDRIO PARA ADICIONAL PINTURA CARRETERA</t>
  </si>
  <si>
    <t>3120150290002482</t>
  </si>
  <si>
    <t>3120150290002482 TAPE ELECTRICO # 33 / CORRIENTE</t>
  </si>
  <si>
    <t>3120150292084082</t>
  </si>
  <si>
    <t>3120150292084082 TAPE AISLANTE N° 23 DE  25,4mm X 9mm</t>
  </si>
  <si>
    <t>3120150592035267</t>
  </si>
  <si>
    <t>3120150592035267 CINTA DE POLIETILENO, ADHESIVA AMBOS LADOS, MEDIDA 25,40 mm X 33 m</t>
  </si>
  <si>
    <t>3120151592070833</t>
  </si>
  <si>
    <t>3120151592070833 CINTA PARA GYPSUM</t>
  </si>
  <si>
    <t>3120153492036865</t>
  </si>
  <si>
    <t>3120153492036865 CINTA PARA TAPAR GOTERAS</t>
  </si>
  <si>
    <t>3120160592068758</t>
  </si>
  <si>
    <t>3120160592068758 MASILLA TAPA GRIETAS</t>
  </si>
  <si>
    <t>3120160792028779</t>
  </si>
  <si>
    <t>3120160792028779 PEGAMENTO P.V.C.</t>
  </si>
  <si>
    <t>3120161092041218</t>
  </si>
  <si>
    <t>3120161092041218 PEGAMENTO COLA BLANCA</t>
  </si>
  <si>
    <t>3120161892036160</t>
  </si>
  <si>
    <t>3120161892036160 PASTA PARA GYPSUM O SIMILAR</t>
  </si>
  <si>
    <t>3120162390030221</t>
  </si>
  <si>
    <t>3120162390030221 PEGAMENTO DE CONTACTO DE 5000</t>
  </si>
  <si>
    <t>Traspaso N°14/Mediante BO</t>
  </si>
  <si>
    <t>3121150192022406</t>
  </si>
  <si>
    <t>3121150192022406 PINTURA ESMALTE COLOR NEGRO BRILLANTE</t>
  </si>
  <si>
    <t>3121150292009866</t>
  </si>
  <si>
    <t>3121150292009866 PINTURA ACRILICA C/GRIS OSCURO</t>
  </si>
  <si>
    <t>3121150292091272</t>
  </si>
  <si>
    <t>3121150292091272 PINTURA ACRILICA SATINADA C/BEIGE</t>
  </si>
  <si>
    <t>3121150590015916</t>
  </si>
  <si>
    <t>3121150590015916 PINTURA ANTICORROSIVA COLOR MINIO ROJO PARA TECHO</t>
  </si>
  <si>
    <t>3121150590015957</t>
  </si>
  <si>
    <t>3121150590015957 PINTURA EN ACEITE C/BLANCO MATE BRILLANTE</t>
  </si>
  <si>
    <t>3121150792003744</t>
  </si>
  <si>
    <t>3121150792003744 PINTURA EN SPRAY C/BLANCO</t>
  </si>
  <si>
    <t>3121150890030767</t>
  </si>
  <si>
    <t>3121150890030767 PINTURA ACRILICA COLOR BLANCO MATE</t>
  </si>
  <si>
    <t>3121150892044560</t>
  </si>
  <si>
    <t>3121150892044560 PINTURA ACRILICA SATINADA C/GRIS NANTUKET</t>
  </si>
  <si>
    <t xml:space="preserve">3121150892132519    </t>
  </si>
  <si>
    <t>3121150892132519 PINTURA IMPERMEABILIZANTE PARA CONCRETO GRIS</t>
  </si>
  <si>
    <t>3121151392160528</t>
  </si>
  <si>
    <t>3121151392160528 PINTURA ACRILICA P/PISTA C/NEGRO</t>
  </si>
  <si>
    <t>3121151392160588</t>
  </si>
  <si>
    <t>3121151392160588 PINTURA ACRILICA C/BLANCO P/PISTA</t>
  </si>
  <si>
    <t>3121151392160590</t>
  </si>
  <si>
    <t>3121151392160590 PINTURA ACRILICA P/PISTA C/ROJO</t>
  </si>
  <si>
    <t>3121151392160591</t>
  </si>
  <si>
    <t>3121151392160591 PINTURA ACRILICA P/PISTA C/AMARILLA</t>
  </si>
  <si>
    <t>3121170792045754</t>
  </si>
  <si>
    <t>3121170792045754 BARNIZ TRANSPARENTE, ENVASE DE 3,785 L</t>
  </si>
  <si>
    <t>3121180390016761</t>
  </si>
  <si>
    <t>3121180390016761 DILUYENTE THINNER DE 3,785 L</t>
  </si>
  <si>
    <t>3121190490012932</t>
  </si>
  <si>
    <t>3121190490012932 BROCHA DE 2.54 CMS</t>
  </si>
  <si>
    <t>3121190490027744</t>
  </si>
  <si>
    <t>3121190490027744 BROCHA DE 10.16 CMS</t>
  </si>
  <si>
    <t>3121190490027755</t>
  </si>
  <si>
    <t>3121190490027755 BROCHA DE 5.08 CMS</t>
  </si>
  <si>
    <t>3121190490027759</t>
  </si>
  <si>
    <t>3121190490027759 BROCHA DE 7.62 CMS</t>
  </si>
  <si>
    <t>3121190692009268</t>
  </si>
  <si>
    <t>3121190692009268 RODILLO PARA PINTAR 75mm</t>
  </si>
  <si>
    <t>3121190692043165</t>
  </si>
  <si>
    <t>3121190692043165 MARCO PARA FELPA (9")</t>
  </si>
  <si>
    <t>3123131392074148</t>
  </si>
  <si>
    <t>3123131392074148 TUBO P.V.C. DE 3.81 CMS / 1 1/2"</t>
  </si>
  <si>
    <t>3910160590008530</t>
  </si>
  <si>
    <t>3910160590008530 TUBO FLUORESCENTE F17 DE 17W</t>
  </si>
  <si>
    <t>3910160592074361</t>
  </si>
  <si>
    <t>3910160592074361 TUBO FLUORESCENTE T8, 32W, 2 PINES</t>
  </si>
  <si>
    <t>3910161792074479</t>
  </si>
  <si>
    <t>3910161792074479 BOMBILLO DE SODIO 1000W</t>
  </si>
  <si>
    <t>3910169992141353</t>
  </si>
  <si>
    <t>3910169992141353 TUBO LED 1,20 m, 2 PINES,120 V, 6500 K, 18 W, EFICIENCIA LUMINICA MINIMA 80 lm/W</t>
  </si>
  <si>
    <t>3910169992143567</t>
  </si>
  <si>
    <t>3910169992143567 BOMBILLO LED ROSCA E27, A60, 9W, 120V , VIDA MEDIA MAYOR A 15000 hrs</t>
  </si>
  <si>
    <t>3910169992146331</t>
  </si>
  <si>
    <t>3910169992146331 LAMPARA LED TIPO REFLECTOR, COLOR NEGRO</t>
  </si>
  <si>
    <t>3910169992149570</t>
  </si>
  <si>
    <t>3910169992149570 LAMPARA LED TIPO PANEL 30cm x 120cm 50W</t>
  </si>
  <si>
    <t>3910180392061121</t>
  </si>
  <si>
    <t>3910180392061121 BASE PLASTICA 600V COLOR BLANCO PARA TUBO FLUORESCENTE 2 PINES</t>
  </si>
  <si>
    <t>3910190192099154</t>
  </si>
  <si>
    <t>3910190192099154 BALASTRO DE 2 X 32W T8</t>
  </si>
  <si>
    <t>3911152192037956</t>
  </si>
  <si>
    <t>3911152192037956 PLAFON SOCKER C/BASE INTERRUPTOR</t>
  </si>
  <si>
    <t>3911169992092077</t>
  </si>
  <si>
    <t>3911169992092077 BOMBILLO/BULBO DE HALOGENO PARA LAMPARA DE PISTA 45W</t>
  </si>
  <si>
    <t>3911169992092078</t>
  </si>
  <si>
    <t>3911169992092078 BULBO DE HALOGENO 115W</t>
  </si>
  <si>
    <t>3911181092102757</t>
  </si>
  <si>
    <t>3911181092102757 APAGADOR SENCILLO DE PLACA PLASTICA</t>
  </si>
  <si>
    <t>3911181092102758</t>
  </si>
  <si>
    <t>3911181092102758 APAGADOR DE DOBLE PLACA PLASTICA</t>
  </si>
  <si>
    <t>3912102992122531</t>
  </si>
  <si>
    <t>3912102992122531 TRANSFORMADOR DE AISLAMIENTO P/CIRCUITOS EN SERIE FAA L-830, DE 6,6 AMP, 45W</t>
  </si>
  <si>
    <t>3912103192027277</t>
  </si>
  <si>
    <t>3912103192027277 PROTECTOR DE PICOS CON SEIS TOMAS</t>
  </si>
  <si>
    <t>3912110192100853</t>
  </si>
  <si>
    <t>3912110192100853 CENTRO DE CARGA F/S 1 FASE 3 H N/S 125A</t>
  </si>
  <si>
    <t>3912130392050078</t>
  </si>
  <si>
    <t>3912130392050078 CAJA PLASTICA</t>
  </si>
  <si>
    <t>3912130392061650</t>
  </si>
  <si>
    <t>3912130392061650 CAJA OCTOGONAL 101.60MM DIAMETRO</t>
  </si>
  <si>
    <t>3912130392074271</t>
  </si>
  <si>
    <t>3912130392074271 CAJA RECTANGULAR 108MM X 62MM X 45MM</t>
  </si>
  <si>
    <t>3912132692104199</t>
  </si>
  <si>
    <t>3912132692104199 BOTONERA DE PLASTICO, TIPO PARCHE, # 011474, DE DOS BOTONES (1 NC Y 1 NO), COLOR GRIS, PARA PULSADOR DE 22 mm DE DIAMETRO XB5</t>
  </si>
  <si>
    <t>3912140992090923</t>
  </si>
  <si>
    <t>3912140992090923 CONECTOR PARA CABLE PISTA L-823</t>
  </si>
  <si>
    <t>3912143492062225</t>
  </si>
  <si>
    <t>3912143492062225 CONECTOR EMT DE 2.54cms</t>
  </si>
  <si>
    <t>3912143492090810</t>
  </si>
  <si>
    <t>3912143492090810 CURVA CONDUIT DE 25MM</t>
  </si>
  <si>
    <t>3912143492110780</t>
  </si>
  <si>
    <t>3912143492110780 CURVA CONDUIT DE 1.90cms</t>
  </si>
  <si>
    <t>3912143492110817</t>
  </si>
  <si>
    <t>3912143492110817 CURVA CONDUIT DE 12MM</t>
  </si>
  <si>
    <t>3912143990032370</t>
  </si>
  <si>
    <t>3912143990032370 TOMACORRIENTE DOBLE/CON PLACA POLARIZADA/C/MARFIL</t>
  </si>
  <si>
    <t>3912144092043555</t>
  </si>
  <si>
    <t>3912144092043555 EXTENSIONES ELECTRICAS</t>
  </si>
  <si>
    <t>3912144192090904</t>
  </si>
  <si>
    <t>3912144192090904 CABLE FAA L-824 TIPO C DE 5000V</t>
  </si>
  <si>
    <t>3912152292108932</t>
  </si>
  <si>
    <t>3912152292108932 BLOQUE CONEXION CONTACTO AUX. LADN40C. 690V. 10A</t>
  </si>
  <si>
    <t>3912152492062941</t>
  </si>
  <si>
    <t>3912152492062941  FOTOCELDA, VOLTAJE 240 V POTENCIA 1000 W CON BASE Y SOPORTE</t>
  </si>
  <si>
    <t>3912160190011517</t>
  </si>
  <si>
    <t>3912160190011517 INTERRUPTOR BREAKER DE 20A SP 120/240V</t>
  </si>
  <si>
    <t>3912160190037261</t>
  </si>
  <si>
    <t>3912160190037261 BREAKER 20AMP 1P</t>
  </si>
  <si>
    <t>3912160190037265</t>
  </si>
  <si>
    <t>3912160190037265 INTERRUPTOR/BREAKER C/H 01 POLO X 30 AMPERIOS</t>
  </si>
  <si>
    <t>3912160190037267</t>
  </si>
  <si>
    <t>3912160190037267 INTERRUPTOR DE TECLA (1POLO 40A)</t>
  </si>
  <si>
    <t>3912160190037282</t>
  </si>
  <si>
    <t>3912160190037282 BREAKER 50 AMP 2P CH 350</t>
  </si>
  <si>
    <t>3912163790005773</t>
  </si>
  <si>
    <t>3912163790005773 SUPRESOR DE PICOS</t>
  </si>
  <si>
    <t>3913170692007669</t>
  </si>
  <si>
    <t>3913170692007669 TUBO CONDUIT 12.7mm = 1/2"</t>
  </si>
  <si>
    <t>3913170692061649</t>
  </si>
  <si>
    <t>3913170692061649 TUBO CONDUIT DE 1.90 CMS = 3/4</t>
  </si>
  <si>
    <t>3913170692107868</t>
  </si>
  <si>
    <t>3913170692107868 CONECTOR CONDUIT DE 1.90 CMS = 3/4" (ELECTRICO)</t>
  </si>
  <si>
    <t>3913170792031835</t>
  </si>
  <si>
    <t>3913170792031835 UNION PLASTICA (PVC) CONDUIT DE 19,05 mm DE DIAMETRO</t>
  </si>
  <si>
    <t>3913170792032942</t>
  </si>
  <si>
    <t>3913170792032942 UNION PLASTICA (PVC) CONDUIT DE 12,70 mm DE DIAMETRO</t>
  </si>
  <si>
    <t>3913170792032944</t>
  </si>
  <si>
    <t>3913170792032944 UNION PLASTICA (PVC) CONDUIT DE 25,4 mm DE DIAMETRO</t>
  </si>
  <si>
    <t>3913170792033046</t>
  </si>
  <si>
    <t>3913170792033046 CONECTOR EMT DE 1.27cms</t>
  </si>
  <si>
    <t>3913171192035610</t>
  </si>
  <si>
    <t>3913171192035610 CANALETA 32mm X 12,5mm LG300 14</t>
  </si>
  <si>
    <t>4014164092036851</t>
  </si>
  <si>
    <t>4014164092036851 PERA DE DESACARGA PARA INODORO</t>
  </si>
  <si>
    <t>suministros</t>
  </si>
  <si>
    <t>20304120000006</t>
  </si>
  <si>
    <t>20403</t>
  </si>
  <si>
    <t xml:space="preserve">20304-120-000006 KIT TARJETA DE CONTROL LL5900 AUTOLAYLOUT </t>
  </si>
  <si>
    <t>Traspaso N°15 y Reserva 6169</t>
  </si>
  <si>
    <t>4014165492023386</t>
  </si>
  <si>
    <t>4014165492023386 LLAVE DE PASO DE 1.27cms X 1.27cms (1/2"X1/2")</t>
  </si>
  <si>
    <t>4014200890034342</t>
  </si>
  <si>
    <t>4014200890034342 MANGUERA CON BOQUILLA</t>
  </si>
  <si>
    <t>4014200892039038</t>
  </si>
  <si>
    <t>4014200892039038 MANGUERA PLASTICA (PVC) FLEXIBLE DE ABASTO PARA INODORO DE 40cm LARGO</t>
  </si>
  <si>
    <t>4014251392120296</t>
  </si>
  <si>
    <t>4014251392120296 SIFON P.V.C. BLANCO 3.17 CM (1 1/4P) X 3.81 CM (1 1/2P)</t>
  </si>
  <si>
    <t>4016150492025798</t>
  </si>
  <si>
    <t>4016150492025798 FILTRO P/ACEITE # P550367</t>
  </si>
  <si>
    <t>4016150492125624</t>
  </si>
  <si>
    <t>4016150492125624 FILTRO DE ACEITE 84228488 TRACTOR NEW HOLLAND</t>
  </si>
  <si>
    <t>4016151392083736</t>
  </si>
  <si>
    <t>4016151392083736 FILTRO COMBUSTIBLE C/8 # 84214564/TRACTOR AGRICOLA NEW HOLLAND MODELO TT75-4WD</t>
  </si>
  <si>
    <t>4016151392098309</t>
  </si>
  <si>
    <t>4016151392098309 FILTRO PARA DIESELCAMION INTERNACIONAL</t>
  </si>
  <si>
    <t>4016151392109768</t>
  </si>
  <si>
    <t>4016151392109768 FILTRO PARA GASOLINA # BF1345</t>
  </si>
  <si>
    <t>4016151592165769</t>
  </si>
  <si>
    <t>4016151592165769 FILTRO RESPIRACION HIDRAULICA/BARREDORA # 1027460</t>
  </si>
  <si>
    <t>4016151592165771</t>
  </si>
  <si>
    <t>4016151592165771 FILTRO DE RESPIRACION HIDRAULICA BARREDORA # 1030553</t>
  </si>
  <si>
    <t>4016151592165827</t>
  </si>
  <si>
    <t>4016151592165827 FILTRO HIDRAULICO 1909143 TRACTOR NEW HOLLAND</t>
  </si>
  <si>
    <t>4017151792055414</t>
  </si>
  <si>
    <t>4017151792055414 TUBO P.V.C. DE 7.62 CMS (3")</t>
  </si>
  <si>
    <t>4017151792075420</t>
  </si>
  <si>
    <t>4017151792075420 TUBO P.V.C. DE 5.08 CMS (2")</t>
  </si>
  <si>
    <t>4017151792090826</t>
  </si>
  <si>
    <t>4017151792090826 TUBO CONDUIT DE 2.54 CMS = 1</t>
  </si>
  <si>
    <t>4017151892075055</t>
  </si>
  <si>
    <t>4017151892075055 TUBOS EN PVC de 1/2</t>
  </si>
  <si>
    <t>4017151892075056</t>
  </si>
  <si>
    <t>4017151892075056 TUBO P.V.C. DE 2.54cms (1")</t>
  </si>
  <si>
    <t>4017152192143317</t>
  </si>
  <si>
    <t>4017152192143317 TUBO DE ABASTO EN T P/SERVICIO SANITARIO 1/2 X 1/2 X 1/2</t>
  </si>
  <si>
    <t>4017152192143318</t>
  </si>
  <si>
    <t>4017152192143318 TUBO DE ABASTO ACERO 1.27 X 1.27cm (1/2 x1/2) 40cm LONG</t>
  </si>
  <si>
    <t>4017152192143319</t>
  </si>
  <si>
    <t>4017152192143319 TUBO DE ABASTO DE 1/2" X 7/8"</t>
  </si>
  <si>
    <t>4017170892018165</t>
  </si>
  <si>
    <t>4017170892018165 ADAPTADOR HEMBRA 1 PULGADA (25 MM) PLASTICO PVC PARA AGUA POTABLE</t>
  </si>
  <si>
    <t>4017170892022811</t>
  </si>
  <si>
    <t>4017170892022811 ADAPTADOR MACHO PVC DE 19,05 mm (3/4") DE DIAMETRO</t>
  </si>
  <si>
    <t>4017170892022818</t>
  </si>
  <si>
    <t>4017170892022818 ADAPTADOR MACHO PVC DE 25,4 mm DE DIAMETRO</t>
  </si>
  <si>
    <t>4017170892044722</t>
  </si>
  <si>
    <t>4017170892044722 ADAPTADOR PLASTICO (PVC) MACHO DE 38,1 mm DE DIAMETRO CEDULA S40</t>
  </si>
  <si>
    <t>4017170892081348</t>
  </si>
  <si>
    <t>4017170892081348 ADAPTADOR MACHO CON ROSCA DE 4" PULGADAS/ 101.6 mm EN PVC</t>
  </si>
  <si>
    <t>4017170892084683</t>
  </si>
  <si>
    <t>4017170892084683 ADAPTADOR DE PLASTICO PVC, DIAMETRO DE 12,7 mm (1/2 Pulg), TIPO HEMBRA, SCH 40, PARA USO POTABLE</t>
  </si>
  <si>
    <t>4017170892084745</t>
  </si>
  <si>
    <t>4017170892084745 ADAPTADOR MACHO CON ROSCA DE 2" PULGADAS/50.8 mm EN PVC</t>
  </si>
  <si>
    <t>4017170892087535</t>
  </si>
  <si>
    <t>4017170892087535 ADAPTADOR MACHO CON ROSCA DE 3" PULGADAS/76.2 mm  EN PVC</t>
  </si>
  <si>
    <t>4017280892009224</t>
  </si>
  <si>
    <t>4017280892009224 CODO P.V.C.DE 75mm/ 3" DE 90°</t>
  </si>
  <si>
    <t>4017280892039720</t>
  </si>
  <si>
    <t>4017280892039720 CODO P.V.C DE 90° DE 5.08 CMS (2")</t>
  </si>
  <si>
    <t>4017280892039721</t>
  </si>
  <si>
    <t>4017280892039721 CODO DE 90° EN P.V.C DE 3.81 CMS (1 1/2")</t>
  </si>
  <si>
    <t>4017280892046770</t>
  </si>
  <si>
    <t>4017280892046770 CODO P.V.C. DE 10.16 CMS X 90°</t>
  </si>
  <si>
    <t>4017280992075392</t>
  </si>
  <si>
    <t>4017280992075392 CODO DE PLASTICO (CPVC), TIPO LISO, DE 12,70 mm (1/2") DE DIAMETRO, DE 90°, CEDULA SCH-40, PARA USO POTABLE</t>
  </si>
  <si>
    <t>4017280992075394</t>
  </si>
  <si>
    <t>4017280992075394 CODO DE PLASTICO (CPVC), TIPO LISO, DE 25,40 mm DE DIAMETRO, DE 90°, CEDULA SCH-40, PARA USO POTABLE</t>
  </si>
  <si>
    <t>4017280992075395</t>
  </si>
  <si>
    <t>4017280992075395 CODO LISO EN P.V.C. DE 3.17 CMS (1 1/4")</t>
  </si>
  <si>
    <t>4017280992143434</t>
  </si>
  <si>
    <t>4017280992143434 CODO LISO EN P.V.C. DE 1,90 CMS (3/4")</t>
  </si>
  <si>
    <t>4017330992076594</t>
  </si>
  <si>
    <t>4017330992076594 NIPLE DE HIERRO GALVANIZADO</t>
  </si>
  <si>
    <t>4017350892039821</t>
  </si>
  <si>
    <t>4017350892039821 TAPON PLASTICO DE PVC LISO DE 76,20mm DIAMETRO</t>
  </si>
  <si>
    <t>4017350892113962</t>
  </si>
  <si>
    <t>4017350892113962 TAPON PLASTICO PVC, HEMBRA,ROSCA, 38,10mm DIAMETRO, CED SCH-40, USO POTABLE</t>
  </si>
  <si>
    <t>4017350892169634</t>
  </si>
  <si>
    <t>4017350892169634 TAPON LISO DE PVC, CED SCH 40, DIAMETRO 100mm / 4´</t>
  </si>
  <si>
    <t>4017350992075464</t>
  </si>
  <si>
    <t>4017350992075464 TAPON LISO DE PVC DE 6.35 CMS (2 1/2")</t>
  </si>
  <si>
    <t>4017350992075465</t>
  </si>
  <si>
    <t>4017350992075465 TAPON PLASTICO (CPVC), TIPO LISO, DE 25,40mm DIAMETRO, CED SCH-40, USO POTABLE</t>
  </si>
  <si>
    <t>4017460892030875</t>
  </si>
  <si>
    <t>4017460892030875 TEE DE PLASTICO P.V.C. LISA DE 38,10mm, DIAMETRO, SIN ROSCA, CED SCH 40</t>
  </si>
  <si>
    <t>4017460892060279</t>
  </si>
  <si>
    <t>4017460892060279 TEE P.V.C. DE 5.08 CMS (2")</t>
  </si>
  <si>
    <t>4017460992020484</t>
  </si>
  <si>
    <t>4017460992020484 TEE P.V.C DE 6.35 CMS (2 1/2")</t>
  </si>
  <si>
    <t>4017460992075416</t>
  </si>
  <si>
    <t>4017460992075416 TEE SCH 40 LISA PVC DE 1" (25.40 MM)</t>
  </si>
  <si>
    <t>4017460992108436</t>
  </si>
  <si>
    <t>4017460992108436 TEE CON ROSCA DE P.V.C. DE 1.9cms (3/4")</t>
  </si>
  <si>
    <t>4017490892018156</t>
  </si>
  <si>
    <t>4017490892018156 UNION LISA P.V.C. DE 2.54 CMS (1")</t>
  </si>
  <si>
    <t>4017490892018161</t>
  </si>
  <si>
    <t>4017490892018161 UNION DE TRANSICION O REPARACION PLASTICO PVC, (1 1/2) 38mm, SCH 40 USO POTABLE</t>
  </si>
  <si>
    <t>4017490892054608</t>
  </si>
  <si>
    <t>4017490892054608 UNION DE TRANSICION O REPARACION PLASTICO PVC, 25.4mm SCH 40 USO POTABLE</t>
  </si>
  <si>
    <t>4017490892058482</t>
  </si>
  <si>
    <t>4017490892058482 UNION P.V.C. DE 1.27 CMS</t>
  </si>
  <si>
    <t>4017490892060896</t>
  </si>
  <si>
    <t>4017490892060896 UNION LISA P.V.C. DE 31,75 (1 1/4) P/AGUA POTABLE</t>
  </si>
  <si>
    <t>4017490892072933</t>
  </si>
  <si>
    <t>4017490892072933 UNIONES DE POLIETILENO 1/2</t>
  </si>
  <si>
    <t>4017490892085284</t>
  </si>
  <si>
    <t>4017490892085284 UNION P.V.C. LISA 5.08cm / 2"</t>
  </si>
  <si>
    <t>4017490892090590</t>
  </si>
  <si>
    <t>4017490892090590 UNION LISA P.V.C. DE 1.90 CMS (3/4")</t>
  </si>
  <si>
    <t>4018990192040088</t>
  </si>
  <si>
    <t>4018990192040088 TUBO HG REDONDO</t>
  </si>
  <si>
    <t>4111161392015467</t>
  </si>
  <si>
    <t>4111161392015467 MEDIDOR LASER (DISTANCIOMETRO) CON RANGO DE MEDICION DE 0,05m HASTA 200m</t>
  </si>
  <si>
    <t>4410200192050321 PLASTICO P/LAMINACION DE CARNETS</t>
  </si>
  <si>
    <t>4410299992022050</t>
  </si>
  <si>
    <t>4410299992022050 LIMPIADOR DE CONTACTOS DE 325ML</t>
  </si>
  <si>
    <t>4410310592117120</t>
  </si>
  <si>
    <t>4410310592117120 TONNER IMPRESORA BROTHER LC51B COLOR NEGRO</t>
  </si>
  <si>
    <t>4412170590031554</t>
  </si>
  <si>
    <t>4412170590031554 PORTAMINAS DE 0.7 MM</t>
  </si>
  <si>
    <t>4617150192007128</t>
  </si>
  <si>
    <t>4617150192007128 CANDADO DE 35 MM (EQUIVALE A 38mm SICOP)</t>
  </si>
  <si>
    <t>4617150392064016</t>
  </si>
  <si>
    <t>4617150392064016 LLAVIN PARA ESCRITORIO</t>
  </si>
  <si>
    <t>4617150392073952</t>
  </si>
  <si>
    <t>4617150392073952 CERRADURA (LLAVIN) C/SEGURO INTERNO SIN LLAVE</t>
  </si>
  <si>
    <t>4617150392073957</t>
  </si>
  <si>
    <t>4617150392073957 LLAVIN DE DOBLE PASO</t>
  </si>
  <si>
    <t>4617152090030334</t>
  </si>
  <si>
    <t>4617152090030334 LLAVIN ELECTRICO IZQUIERDO DE DOBLE PASO</t>
  </si>
  <si>
    <t>4617152092149482</t>
  </si>
  <si>
    <t>4617152092149482 LLAVIN ELECTRICO DERECHO CON SUS ADITAMENTOS, PARA PUERTA</t>
  </si>
  <si>
    <t>4618150892029868</t>
  </si>
  <si>
    <t>4618150892029868 CAMISAS DE SOLDADOR/CHAQUETA PARA PROTECCION CONTRA EL CALOR</t>
  </si>
  <si>
    <t>4618154092117797</t>
  </si>
  <si>
    <t>4618154092117797 GUANTES DE CUERO PARA SOLDAR</t>
  </si>
  <si>
    <t>4618160592078461</t>
  </si>
  <si>
    <t>4618160592078461 ZAPATOS DE SEGURIDAD</t>
  </si>
  <si>
    <t>4618180492081245</t>
  </si>
  <si>
    <t>4618180492081245 ANTEOJOS PROTECCION EN SEGURIDAD OCUPACIONAL</t>
  </si>
  <si>
    <t>4713160492150271</t>
  </si>
  <si>
    <t>4713160492150271 ESCOBON ALTA RESISTENCIA CERDAS PLASTICAS 1.23 LARGO</t>
  </si>
  <si>
    <t>4713160892001341</t>
  </si>
  <si>
    <t>4713160892001341 CEPILLO DE RAIZ</t>
  </si>
  <si>
    <t>4713170192046549</t>
  </si>
  <si>
    <t>4713180592003730</t>
  </si>
  <si>
    <t>4713180592003730 LIMPIADOR DESENGRASANTE</t>
  </si>
  <si>
    <t>4713181592019266</t>
  </si>
  <si>
    <t>4713181592019266 DESATORADOR DE CAÑERIA</t>
  </si>
  <si>
    <t>4713182190014846 CREMA DESENGRASANTE LIQUIDO PARA TRABAJO PESADO</t>
  </si>
  <si>
    <t>4713183192024215</t>
  </si>
  <si>
    <t>4713183192024215 ACIDO MURIATICO</t>
  </si>
  <si>
    <t xml:space="preserve">20104955010034  </t>
  </si>
  <si>
    <t>20104-955-010034 PINTURA ACRILICA C/AZUL P/PISTA</t>
  </si>
  <si>
    <t xml:space="preserve">4912150592177947    </t>
  </si>
  <si>
    <t>4912150592177947 HIELERA</t>
  </si>
  <si>
    <t>2611170192014484</t>
  </si>
  <si>
    <t>2611170192014484 BATERIA PARA TELEFONO INALAMBRICO</t>
  </si>
  <si>
    <t xml:space="preserve">29905045000230  </t>
  </si>
  <si>
    <t>29905-045-000230 JABON DE MANOS USO INSTITUCIONAL CON DISPENSADOR</t>
  </si>
  <si>
    <t xml:space="preserve">29905045000315  </t>
  </si>
  <si>
    <t>29905-045-000315 JABON LIQUIDO LAVAPLATOS</t>
  </si>
  <si>
    <t xml:space="preserve">29906135000090  </t>
  </si>
  <si>
    <t>29906-135-000090 GORRA PROTECTORA, DE POLIETILENO  ALTA DENSIDAD</t>
  </si>
  <si>
    <t xml:space="preserve">29906135000091  </t>
  </si>
  <si>
    <t>29906-135-000091 GORRA CON CUELLO PROTECTOR (TAPA CUELLO) TELA SECADO RAPIDO, SEIS PANELES, VISERA CONICA, CORDON ELASTICO CON CIERRE AJUSTABLE, TALLA UNICA AJUSTABLE</t>
  </si>
  <si>
    <t>29906-135-000091 GORRA CON CUELLO PROTECTOR (TAPA CUELLO) TELA SECASDO RAPIDO, SEIS PANELES, VISERA CONICA, CORDON ELASTICO CON CIERRE AJUSTABLE, TALLA UNICA AJUSTABLE</t>
  </si>
  <si>
    <t xml:space="preserve">29906135000092  </t>
  </si>
  <si>
    <t>29906-135-000092 GORRA CON CUELLO PROTECTOR (TAPA CUELLO) TELA SECASDO RAPIDO, SEIS PANELES, VISERA CONICA, CORDON ELASTICO CON CIERRE AJUSTABLE, TALLA UNICA AJUSTABLE</t>
  </si>
  <si>
    <t>3120150392125824</t>
  </si>
  <si>
    <t>3120150392125824 CINTA ADHESIVA PARA ENMASCARAR (MASKING TAPE), DE 1"</t>
  </si>
  <si>
    <t>3121180390016761 THINNER FINO DILUYENTE DE 3,785 L</t>
  </si>
  <si>
    <t>4412170892125331 MARCADOR PARA PIZARRA ACRILICA, PUNTA GRUESA, COLOR AZUL</t>
  </si>
  <si>
    <t>4712170290031840</t>
  </si>
  <si>
    <t>4712170290031840 BASUREROS</t>
  </si>
  <si>
    <t>3120161192125771 PLASTICO TRANSPARENTE AUTOADHESIVO</t>
  </si>
  <si>
    <t>4410312492133434 CINTA TERMICA A COLOR PARA IMPRESORA</t>
  </si>
  <si>
    <t>4410312492133443 CINTA TERMICA DE RETRANSFERENCIA TRANSPARENTE PARA IMPRESORA</t>
  </si>
  <si>
    <t>4412161992125693 SACAPUNTAS METALICO (TAJADOR), DOBLE (DOS ORIFICIOS)</t>
  </si>
  <si>
    <t>4412170692125808 LAPIZ DE ESCRIBIR DE MADERA #2HB</t>
  </si>
  <si>
    <t xml:space="preserve">1110101   </t>
  </si>
  <si>
    <t>1411151992126036</t>
  </si>
  <si>
    <t>1411151992126036 CARTULINA TIPO OPALINA, COLOR BLANCO, TAMAÑO CARTA, MEDIDA 21.59cm  X 27.94cm</t>
  </si>
  <si>
    <t xml:space="preserve">29904035000120  </t>
  </si>
  <si>
    <t>29904-035-000120 CAMISETA TIPO COLUMBIA DRY FIT</t>
  </si>
  <si>
    <t>3120151290002643 CINTA ADHESIVA PLASTICA MAGICA DE 18mm X 33mts</t>
  </si>
  <si>
    <t>3912103192017416</t>
  </si>
  <si>
    <t>3912103192017416 REGLETA DE 6 TOMAS</t>
  </si>
  <si>
    <t>4412190492125912 TINTA PARA SELLOS, SIN ACEITE, APLICACION TIPO GOTEO, COLOR AZUL</t>
  </si>
  <si>
    <t>4412200392131446 TABLA CON PRENSA</t>
  </si>
  <si>
    <t>4618150792090920 CHALECO REFLECTIVO, ALTA VISIBILIDAD</t>
  </si>
  <si>
    <t>5310160292079263 CAMISA TIPO AVIADOR</t>
  </si>
  <si>
    <t xml:space="preserve">29901055000011  </t>
  </si>
  <si>
    <t>29901-055-000011 ENGRAPADORA TIPO INDUSTRIAL</t>
  </si>
  <si>
    <t>4410350292002157</t>
  </si>
  <si>
    <t>4410350292002157 TAPAS PARA ENCUADERNACION TAMANO CARTA COLOR AZUL</t>
  </si>
  <si>
    <t>4410350292030233</t>
  </si>
  <si>
    <t>4410350292030233 TAPAS PARA ENCUADERNACION TAMANO CARTA COLOR AMARILLO</t>
  </si>
  <si>
    <t>4410350292157274</t>
  </si>
  <si>
    <t>4410350292157274 TAPAS PARA ENCUADERNACION TAMANO CARTA COLOR BLANCO</t>
  </si>
  <si>
    <t>4410350292213106</t>
  </si>
  <si>
    <t>4410350292213106 TAPAS PARA ENCUADERNACION TAMANO CARTA COLOR BEIGE</t>
  </si>
  <si>
    <t>4410350392126026 RESORTE PLASTICO PARA ENCUADERNAR 9.52mm</t>
  </si>
  <si>
    <t>4410350592070367</t>
  </si>
  <si>
    <t>4410350592070367 PEINETA PARA ENCUADERNACION (25 PEINETAS X CAJA)</t>
  </si>
  <si>
    <t>4412150692013668</t>
  </si>
  <si>
    <t>4412150692013668 SOBRES BLANCOS TAMAÑO OFICIO</t>
  </si>
  <si>
    <t>4412150792162776 SOBRE MANILA N° 9, TAMAÑO CARTA, 23 X 30.5 CMS. (PAQ. CON 50 UNIDADES)</t>
  </si>
  <si>
    <t>4412160592125803</t>
  </si>
  <si>
    <t>4412160592125803 DISPENSADOR DE CINTA ADHESIVA</t>
  </si>
  <si>
    <t>4412170590031588</t>
  </si>
  <si>
    <t>4412170590031588 PORTAMINAS DE 0.5 MM</t>
  </si>
  <si>
    <t>4412171692124982 MARCADOR RESALTADOR VERDE FOSFORECENTE, PUNTA GRUESA</t>
  </si>
  <si>
    <t>4412190292125705</t>
  </si>
  <si>
    <t>4412190292125705 MINAS PARA PORTAMINAS DE 0.7 MM</t>
  </si>
  <si>
    <t xml:space="preserve">29903200000001  </t>
  </si>
  <si>
    <t>29903200000001-ETIQUETAS</t>
  </si>
  <si>
    <t xml:space="preserve">29999900000050  </t>
  </si>
  <si>
    <t>29999-900-000050 ROLLO DE ESPUMA DE POLIETILENO</t>
  </si>
  <si>
    <t>4410180892201045</t>
  </si>
  <si>
    <t>4410180892201045 CALCULADORA CIENTIFICA MANUAL</t>
  </si>
  <si>
    <t>4412210492125802 CLIP N°1 (33MM) CON RECUBRIMIENTO PLASTICO (100 CLIPS X CAJA)</t>
  </si>
  <si>
    <t>5510153192033904</t>
  </si>
  <si>
    <t>5510153192033904 LEY DE CONTRATACION ADMINISTRATIVA Y SU REGLAMENTO</t>
  </si>
  <si>
    <t>5512161292160558</t>
  </si>
  <si>
    <t>5512161292160558 CINTA DYMO DE 1.27 CMS, COLOR NEGRO</t>
  </si>
  <si>
    <t xml:space="preserve">29901305000950  </t>
  </si>
  <si>
    <t>29901-305-000950 CINTA BICOLOR P/SUMADORA CANON</t>
  </si>
  <si>
    <t>4412162892125797 DISPENSADOR DE CLIPS</t>
  </si>
  <si>
    <t xml:space="preserve">2230301   </t>
  </si>
  <si>
    <t>SALUD OCUPASIONAL ADMINISTRACIÓN GENERAL</t>
  </si>
  <si>
    <t>5147190192056766 ALCOHOL DE 90 GRADOS</t>
  </si>
  <si>
    <t>TOTALES PARA EL ÁREA SALUD OCUPACIONAL ADMINISTRACIÓN GENERAL</t>
  </si>
  <si>
    <t>1411150890030678</t>
  </si>
  <si>
    <t>1411150890030678 ROLLO DE PAPEL TERMICO (TERMOSENSIBLE)</t>
  </si>
  <si>
    <t xml:space="preserve">20304900140801      </t>
  </si>
  <si>
    <t>20304-900-140801 DISCO DURO (COMPUTO)</t>
  </si>
  <si>
    <t xml:space="preserve">29903020000001      </t>
  </si>
  <si>
    <t>29903020000001-FORMULARIOS DIVERSOS</t>
  </si>
  <si>
    <t>4412202392078350 PORTAFOLIO DE TAMAÑO 1PUL</t>
  </si>
  <si>
    <t>4412202392125997 PORTAFOLIO 3PUL ARGOLLAS TAMAÑO CARTA</t>
  </si>
  <si>
    <t xml:space="preserve">20402025000001  </t>
  </si>
  <si>
    <t>20402-025-000001 PANELES RADIO VARIABLE TR-810 MP MARCA JOTRO</t>
  </si>
  <si>
    <t xml:space="preserve">20402065000031  </t>
  </si>
  <si>
    <t>20402-065-000031 TARJETA INTERFACE TELEFONIA NUMERO DE PARTE 2M/TLT2.903</t>
  </si>
  <si>
    <t xml:space="preserve">20402065000032  </t>
  </si>
  <si>
    <t>20402-065-000032 CAJA DE UNIONES NUMERO DE PARTE JB/VOIP.1433/A</t>
  </si>
  <si>
    <t xml:space="preserve">20402065000033  </t>
  </si>
  <si>
    <t>20402-065-000033 CONSOLA TACTIL NUMERO DE PARTE K/MTS12.825/D</t>
  </si>
  <si>
    <t xml:space="preserve">20402065000034  </t>
  </si>
  <si>
    <t>20402-065-000034 TARJETA INTERFACE RADIO NUMERO DE PARTE 2M/RLT2.903</t>
  </si>
  <si>
    <t xml:space="preserve">20402065000035  </t>
  </si>
  <si>
    <t>20402-065-000035 PTT DE PEDAL NUMERO DE PARTE PED.1032</t>
  </si>
  <si>
    <t xml:space="preserve">20402065000036  </t>
  </si>
  <si>
    <t>20402-065-000036 BASE DE TELEFONO DE MANO NUMERO DE PARTE BM/1410</t>
  </si>
  <si>
    <t xml:space="preserve">20402065000037  </t>
  </si>
  <si>
    <t>20402-065-000037 TARJETA DE SEÑAL NUMERO DE PARTE M/SG.471</t>
  </si>
  <si>
    <t xml:space="preserve">20402065000038  </t>
  </si>
  <si>
    <t>20402-065-000038 TELEFONO DE MANO NUMERO DE PARTE MT/1410</t>
  </si>
  <si>
    <t xml:space="preserve">20402345000075  </t>
  </si>
  <si>
    <t>20402-345-000075 TARJETA INTERFACE TELEFONIA NUMERO DE PARTE 2M/TlT2.903 MARCA SITTI</t>
  </si>
  <si>
    <t xml:space="preserve">29905010000320  </t>
  </si>
  <si>
    <t>29905-010-000320 CERA ACRILICA ANTIDESLIZANTE PARA PISOS DE MOSAICO, TERRAZO Y TERRACIN</t>
  </si>
  <si>
    <t xml:space="preserve">1140102   </t>
  </si>
  <si>
    <t xml:space="preserve">29905025000250  </t>
  </si>
  <si>
    <t>29905-025-000250 DESINFECTANTE LIMPIADOR, ROMOVEDOR DE MANCHAS Y GRASA</t>
  </si>
  <si>
    <t>29905-025-000600 DESINFECTANTE CONCENTRADO PARA DILUIR</t>
  </si>
  <si>
    <t xml:space="preserve">29905045000095  </t>
  </si>
  <si>
    <t>29905-045-000095 DETERGENTE LIQUIDO BIODEGRADABLE</t>
  </si>
  <si>
    <t xml:space="preserve">29905060100012  </t>
  </si>
  <si>
    <t>TOTALES PARA EL ÁREA SERVICIOS DE NAVEGACION AEREA AIJS</t>
  </si>
  <si>
    <t xml:space="preserve">20402045003280      </t>
  </si>
  <si>
    <t xml:space="preserve">Servicios Generales Administración general </t>
  </si>
  <si>
    <t xml:space="preserve">20402900000001      </t>
  </si>
  <si>
    <t>20402-900-000001 REPUESTOS</t>
  </si>
  <si>
    <t xml:space="preserve">20101001000015  </t>
  </si>
  <si>
    <t>20101-001-000015 CONTRATO TARJETAS PARA GASOLINA (CONTRATO MARCO)</t>
  </si>
  <si>
    <t xml:space="preserve"> 20104480095058 </t>
  </si>
  <si>
    <t>20104480095058-TINTA IMPRESORA HP 940C COLOR CYAN</t>
  </si>
  <si>
    <t xml:space="preserve">20402100000002  </t>
  </si>
  <si>
    <t>20402-100-000002 FILTRO PARA AIRE 5I98/P77-7638</t>
  </si>
  <si>
    <t xml:space="preserve">20402001000005      </t>
  </si>
  <si>
    <t xml:space="preserve">2517250492006241    </t>
  </si>
  <si>
    <t>2517250492006241 LLANTA 245/75R16</t>
  </si>
  <si>
    <t>2517250492106892</t>
  </si>
  <si>
    <t>2517250492106892 LLANTA 7.00R16, RADIAL, TACO DOBLE SERVICIO, 10 CAPAS</t>
  </si>
  <si>
    <t xml:space="preserve">2517250492255234    </t>
  </si>
  <si>
    <t>2517250492255234 LLANTA 225/60R18, INDICE DE CARGA 100 (800 kg) O SUPERIOR, INDICE DE VELOCIDAD MINIMO H (210 km/h), 7 CAPAS, FONDO DE ESTRÍA 7,5 mm O SUPERIOR</t>
  </si>
  <si>
    <t>2611170390031693</t>
  </si>
  <si>
    <t>2611170390031693 BATERIA DE 12 VOLTIOS, 13 PLACAS</t>
  </si>
  <si>
    <t xml:space="preserve">29901001120201  </t>
  </si>
  <si>
    <t>29901-001-120201 REAJUSTE DE PRECIOS</t>
  </si>
  <si>
    <t xml:space="preserve">29903030000100  </t>
  </si>
  <si>
    <t>29903-030-000100 CUADERNO RAYADO COMUN, DE 80 HOJAS</t>
  </si>
  <si>
    <t xml:space="preserve">29903900000080  </t>
  </si>
  <si>
    <t>29903-900-000080 TOALLAS DE COCINA TIPO MAYORDOMO</t>
  </si>
  <si>
    <t xml:space="preserve">29904035000100      </t>
  </si>
  <si>
    <t>29904035000100-CAMISETA TIPO POLO</t>
  </si>
  <si>
    <t xml:space="preserve">29904050000001      </t>
  </si>
  <si>
    <t>29904050000001-GABACHA</t>
  </si>
  <si>
    <t xml:space="preserve">29905040000060      </t>
  </si>
  <si>
    <t>29905-040-000060 ABRILLANTADOR PARA MUEBLES SILICONIZADO</t>
  </si>
  <si>
    <t xml:space="preserve">29905060100012      </t>
  </si>
  <si>
    <t xml:space="preserve">29905900000040      </t>
  </si>
  <si>
    <t>29906-490-020271 MANGAS PARA PROTECCIÓN DEL SOL, EXPANDEX ELASTANO, LICRA CON FILTRO SOLAR TEXTIL</t>
  </si>
  <si>
    <t>4412180492126626</t>
  </si>
  <si>
    <t>4412180492126626 PORTA BORRADOR TIPO LAPIZ</t>
  </si>
  <si>
    <t>4412190292125704</t>
  </si>
  <si>
    <t>4412190292125704 MINAS PARA PORTAMINAS DE 0.5 MM, DUREZA HB</t>
  </si>
  <si>
    <t>4412200292070178 PROTECTORES DE PLASTICO (FUNDAS) PARA HOJAS 21.6cm X 27.8cm</t>
  </si>
  <si>
    <t>4412201192126041 CARPETAS DE MANILA TAMAÑO CARTA. COLOR AMARILLO NATURAL, CAJA DE 100 UNIDADES</t>
  </si>
  <si>
    <t xml:space="preserve">4712170192051060    </t>
  </si>
  <si>
    <t xml:space="preserve">4713180592183877    </t>
  </si>
  <si>
    <t xml:space="preserve">4713181292115948    </t>
  </si>
  <si>
    <t>4713181292115948 DESODORANTE AMBIENTAL EN VARIOS AROMAS, BIODEGRADABLE, ELIMINA OLORES. PRESENTACION 3,785 L (GALON)</t>
  </si>
  <si>
    <t>4713182890029955</t>
  </si>
  <si>
    <t>4713182890029955 CERA PRESUAVIZADA PARA CARRO</t>
  </si>
  <si>
    <t xml:space="preserve">5313160892129760    </t>
  </si>
  <si>
    <t>2711200192020015 CUCHILLO LABORES DE AGRICULTURA (MACHETE)</t>
  </si>
  <si>
    <t>3911170292092857</t>
  </si>
  <si>
    <t>3911170292092857 LINTERNA DE MANO, RECARGABLE</t>
  </si>
  <si>
    <t>4111290192095485</t>
  </si>
  <si>
    <t>4111290192095485 BRUJULA</t>
  </si>
  <si>
    <t>4320180992131164</t>
  </si>
  <si>
    <t>4320180992131164 DISCO DVD</t>
  </si>
  <si>
    <t>4410240292030503</t>
  </si>
  <si>
    <t>4410240292030503 NUMERADOR AUTOMATICO</t>
  </si>
  <si>
    <t xml:space="preserve">29901900002423  </t>
  </si>
  <si>
    <t>29901-900-002423 PRENSA TIPO LOTERIA 1" 25MM CJX12</t>
  </si>
  <si>
    <t>4412170692125808 LAPIZ DE ESCRIBIR DE MADERA DE #2HB</t>
  </si>
  <si>
    <t>4412171692124982 MARCADOR RESALTADOR COLOR VERDE, PUNTA GRUESA</t>
  </si>
  <si>
    <t>4412190292125705 MINAS 0.7 MM</t>
  </si>
  <si>
    <t>4412200292070178 PROTECTORES DE PLASTICO PARA HOJAS 21.6cm x 27.8cm</t>
  </si>
  <si>
    <t>4412200892068967 CEJILLAS DIVISORAS PLASTICAS</t>
  </si>
  <si>
    <t>4412210492125800</t>
  </si>
  <si>
    <t>4412210492125800 PRENSA TIPO LOTERIA  32MM= 1 1/4"  (12 PRENSAS X CAJA)</t>
  </si>
  <si>
    <t>4412211892069051</t>
  </si>
  <si>
    <t>4412211892069051 PRENSAS METALICAS PARA FOLDER (FASTENER)</t>
  </si>
  <si>
    <t>1411150792123065</t>
  </si>
  <si>
    <t>1411150792123065 PAPEL BOND BLANCO TAMAÑO OFICIO DE 75 GRS</t>
  </si>
  <si>
    <t>4410180792156749</t>
  </si>
  <si>
    <t>4410180792156749 CALCULADORA SOLAR</t>
  </si>
  <si>
    <t>4412200892078681</t>
  </si>
  <si>
    <t>4412200892078681 CEJILLAS PLASTICAS</t>
  </si>
  <si>
    <t>5216169992038146</t>
  </si>
  <si>
    <t>5216169992038146 CABLE MACHO HDMI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</si>
</sst>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₡&quot;* #,##0.00_-;\-&quot;₡&quot;* #,##0.00_-;_-&quot;₡&quot;* &quot;-&quot;??_-;_-@_-"/>
  </numFmts>
  <fonts count="24" x14ac:knownFonts="1">
    <font>
      <sz val="10"/>
      <color rgb="FF000000"/>
      <name val="Arial"/>
    </font>
    <font>
      <sz val="10"/>
      <color rgb="FF00000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color rgb="FFFF0000"/>
      <name val="Arial"/>
      <family val="2"/>
    </font>
    <font>
      <b/>
      <sz val="7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FFFF"/>
      <name val="Arial"/>
      <family val="2"/>
    </font>
    <font>
      <b/>
      <sz val="6"/>
      <color rgb="FFFFFFFF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08000"/>
        <bgColor rgb="FFFFFFFF"/>
      </patternFill>
    </fill>
    <fill>
      <patternFill patternType="solid">
        <fgColor rgb="FF333300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E6F1D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/>
      <top style="thin">
        <color rgb="FFCAC9D9"/>
      </top>
      <bottom style="thin">
        <color rgb="FFCAC9D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 style="thin">
        <color rgb="FFCAC9D9"/>
      </left>
      <right style="thin">
        <color rgb="FFCAC9D9"/>
      </right>
      <top/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/>
      <top/>
      <bottom style="thin">
        <color rgb="FFCAC9D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75">
    <xf numFmtId="0" fontId="0" fillId="0" borderId="0" xfId="0"/>
    <xf numFmtId="164" fontId="2" fillId="2" borderId="1" xfId="2" applyFont="1" applyFill="1" applyBorder="1" applyAlignment="1">
      <alignment horizontal="left"/>
    </xf>
    <xf numFmtId="164" fontId="2" fillId="4" borderId="1" xfId="2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164" fontId="5" fillId="2" borderId="1" xfId="2" applyFont="1" applyFill="1" applyBorder="1" applyAlignment="1">
      <alignment horizontal="left"/>
    </xf>
    <xf numFmtId="164" fontId="2" fillId="5" borderId="1" xfId="2" applyFont="1" applyFill="1" applyBorder="1" applyAlignment="1">
      <alignment horizontal="left"/>
    </xf>
    <xf numFmtId="164" fontId="8" fillId="5" borderId="1" xfId="2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43" fontId="2" fillId="2" borderId="1" xfId="1" applyFont="1" applyFill="1" applyBorder="1" applyAlignment="1">
      <alignment horizontal="right"/>
    </xf>
    <xf numFmtId="43" fontId="5" fillId="2" borderId="1" xfId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left"/>
    </xf>
    <xf numFmtId="0" fontId="3" fillId="0" borderId="1" xfId="0" applyFont="1" applyBorder="1"/>
    <xf numFmtId="43" fontId="3" fillId="0" borderId="1" xfId="1" applyFont="1" applyBorder="1"/>
    <xf numFmtId="43" fontId="2" fillId="4" borderId="1" xfId="1" applyFont="1" applyFill="1" applyBorder="1" applyAlignment="1">
      <alignment horizontal="left"/>
    </xf>
    <xf numFmtId="43" fontId="2" fillId="5" borderId="1" xfId="1" applyFont="1" applyFill="1" applyBorder="1" applyAlignment="1">
      <alignment horizontal="left"/>
    </xf>
    <xf numFmtId="43" fontId="2" fillId="3" borderId="1" xfId="1" applyFont="1" applyFill="1" applyBorder="1" applyAlignment="1">
      <alignment horizontal="left"/>
    </xf>
    <xf numFmtId="43" fontId="8" fillId="5" borderId="1" xfId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164" fontId="2" fillId="2" borderId="1" xfId="2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 vertical="center"/>
    </xf>
    <xf numFmtId="164" fontId="2" fillId="4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6" borderId="0" xfId="0" applyFont="1" applyFill="1"/>
    <xf numFmtId="0" fontId="3" fillId="0" borderId="0" xfId="0" applyFont="1"/>
    <xf numFmtId="49" fontId="2" fillId="4" borderId="1" xfId="0" applyNumberFormat="1" applyFont="1" applyFill="1" applyBorder="1" applyAlignment="1">
      <alignment horizontal="center"/>
    </xf>
    <xf numFmtId="164" fontId="9" fillId="5" borderId="1" xfId="2" applyFont="1" applyFill="1" applyBorder="1" applyAlignment="1">
      <alignment horizontal="left" vertical="center"/>
    </xf>
    <xf numFmtId="164" fontId="9" fillId="4" borderId="1" xfId="2" applyFont="1" applyFill="1" applyBorder="1" applyAlignment="1">
      <alignment horizontal="left" vertical="center"/>
    </xf>
    <xf numFmtId="164" fontId="8" fillId="4" borderId="1" xfId="2" applyFont="1" applyFill="1" applyBorder="1" applyAlignment="1">
      <alignment horizontal="left" vertical="center"/>
    </xf>
    <xf numFmtId="43" fontId="11" fillId="4" borderId="1" xfId="1" applyFont="1" applyFill="1" applyBorder="1" applyAlignment="1">
      <alignment horizontal="right" vertical="center"/>
    </xf>
    <xf numFmtId="164" fontId="10" fillId="4" borderId="1" xfId="2" applyFont="1" applyFill="1" applyBorder="1" applyAlignment="1">
      <alignment horizontal="left"/>
    </xf>
    <xf numFmtId="164" fontId="8" fillId="4" borderId="5" xfId="2" applyFont="1" applyFill="1" applyBorder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164" fontId="8" fillId="4" borderId="1" xfId="2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lef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 vertical="center"/>
    </xf>
    <xf numFmtId="49" fontId="2" fillId="4" borderId="2" xfId="0" applyNumberFormat="1" applyFont="1" applyFill="1" applyBorder="1" applyAlignment="1">
      <alignment horizontal="left"/>
    </xf>
    <xf numFmtId="43" fontId="2" fillId="4" borderId="1" xfId="1" applyFont="1" applyFill="1" applyBorder="1" applyAlignment="1">
      <alignment horizontal="right"/>
    </xf>
    <xf numFmtId="49" fontId="8" fillId="4" borderId="1" xfId="0" applyNumberFormat="1" applyFont="1" applyFill="1" applyBorder="1" applyAlignment="1">
      <alignment horizontal="left" vertical="center"/>
    </xf>
    <xf numFmtId="43" fontId="10" fillId="4" borderId="4" xfId="1" applyFont="1" applyFill="1" applyBorder="1" applyAlignment="1">
      <alignment horizontal="left"/>
    </xf>
    <xf numFmtId="164" fontId="8" fillId="0" borderId="5" xfId="2" applyFont="1" applyFill="1" applyBorder="1" applyAlignment="1">
      <alignment horizontal="left" vertical="center"/>
    </xf>
    <xf numFmtId="164" fontId="4" fillId="0" borderId="1" xfId="2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43" fontId="8" fillId="4" borderId="4" xfId="1" applyFont="1" applyFill="1" applyBorder="1" applyAlignment="1">
      <alignment horizontal="left" vertical="center"/>
    </xf>
    <xf numFmtId="43" fontId="8" fillId="4" borderId="5" xfId="1" applyFont="1" applyFill="1" applyBorder="1" applyAlignment="1">
      <alignment horizontal="left" vertical="center"/>
    </xf>
    <xf numFmtId="43" fontId="2" fillId="3" borderId="1" xfId="1" applyFont="1" applyFill="1" applyBorder="1" applyAlignment="1">
      <alignment horizontal="left" vertical="center"/>
    </xf>
    <xf numFmtId="43" fontId="9" fillId="4" borderId="1" xfId="1" applyFont="1" applyFill="1" applyBorder="1" applyAlignment="1">
      <alignment horizontal="left" vertical="center"/>
    </xf>
    <xf numFmtId="43" fontId="8" fillId="4" borderId="1" xfId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/>
    </xf>
    <xf numFmtId="43" fontId="12" fillId="4" borderId="1" xfId="1" applyFont="1" applyFill="1" applyBorder="1" applyAlignment="1">
      <alignment horizontal="center" vertical="center" wrapText="1"/>
    </xf>
    <xf numFmtId="43" fontId="12" fillId="4" borderId="1" xfId="1" applyFont="1" applyFill="1" applyBorder="1" applyAlignment="1">
      <alignment horizontal="center" vertical="center"/>
    </xf>
    <xf numFmtId="0" fontId="12" fillId="4" borderId="1" xfId="2" applyNumberFormat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horizontal="center" wrapText="1"/>
    </xf>
    <xf numFmtId="0" fontId="12" fillId="4" borderId="1" xfId="2" applyNumberFormat="1" applyFont="1" applyFill="1" applyBorder="1" applyAlignment="1">
      <alignment horizontal="center" wrapText="1"/>
    </xf>
    <xf numFmtId="0" fontId="12" fillId="4" borderId="1" xfId="1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left"/>
    </xf>
    <xf numFmtId="43" fontId="2" fillId="4" borderId="1" xfId="1" applyFont="1" applyFill="1" applyBorder="1" applyAlignment="1">
      <alignment horizontal="right" wrapText="1"/>
    </xf>
    <xf numFmtId="43" fontId="15" fillId="2" borderId="1" xfId="1" applyFont="1" applyFill="1" applyBorder="1" applyAlignment="1">
      <alignment horizontal="left"/>
    </xf>
    <xf numFmtId="164" fontId="14" fillId="5" borderId="1" xfId="2" applyFont="1" applyFill="1" applyBorder="1" applyAlignment="1">
      <alignment horizontal="right" vertical="center"/>
    </xf>
    <xf numFmtId="43" fontId="16" fillId="0" borderId="1" xfId="1" applyFont="1" applyBorder="1"/>
    <xf numFmtId="164" fontId="9" fillId="8" borderId="1" xfId="2" applyFont="1" applyFill="1" applyBorder="1" applyAlignment="1">
      <alignment horizontal="left" vertical="center"/>
    </xf>
    <xf numFmtId="164" fontId="8" fillId="8" borderId="1" xfId="2" applyFont="1" applyFill="1" applyBorder="1" applyAlignment="1">
      <alignment horizontal="left" vertical="center"/>
    </xf>
    <xf numFmtId="164" fontId="4" fillId="8" borderId="1" xfId="2" applyFont="1" applyFill="1" applyBorder="1" applyAlignment="1">
      <alignment horizontal="right" vertical="center"/>
    </xf>
    <xf numFmtId="43" fontId="8" fillId="8" borderId="1" xfId="1" applyFont="1" applyFill="1" applyBorder="1" applyAlignment="1">
      <alignment horizontal="left" vertical="center"/>
    </xf>
    <xf numFmtId="164" fontId="4" fillId="8" borderId="4" xfId="2" applyFont="1" applyFill="1" applyBorder="1" applyAlignment="1">
      <alignment horizontal="right" vertical="center"/>
    </xf>
    <xf numFmtId="0" fontId="2" fillId="8" borderId="0" xfId="0" applyFont="1" applyFill="1" applyAlignment="1">
      <alignment horizontal="left"/>
    </xf>
    <xf numFmtId="49" fontId="2" fillId="0" borderId="5" xfId="0" applyNumberFormat="1" applyFont="1" applyBorder="1" applyAlignment="1">
      <alignment horizontal="left"/>
    </xf>
    <xf numFmtId="43" fontId="2" fillId="0" borderId="5" xfId="1" applyFont="1" applyFill="1" applyBorder="1" applyAlignment="1">
      <alignment horizontal="left"/>
    </xf>
    <xf numFmtId="164" fontId="2" fillId="0" borderId="5" xfId="2" applyFont="1" applyFill="1" applyBorder="1" applyAlignment="1">
      <alignment horizontal="left"/>
    </xf>
    <xf numFmtId="164" fontId="2" fillId="0" borderId="1" xfId="2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3" fontId="2" fillId="0" borderId="1" xfId="1" applyFont="1" applyFill="1" applyBorder="1" applyAlignment="1">
      <alignment horizontal="left"/>
    </xf>
    <xf numFmtId="43" fontId="2" fillId="0" borderId="1" xfId="1" applyFont="1" applyFill="1" applyBorder="1" applyAlignment="1">
      <alignment horizontal="right"/>
    </xf>
    <xf numFmtId="43" fontId="9" fillId="8" borderId="1" xfId="1" applyFont="1" applyFill="1" applyBorder="1" applyAlignment="1">
      <alignment horizontal="left" vertical="center"/>
    </xf>
    <xf numFmtId="43" fontId="2" fillId="4" borderId="5" xfId="1" applyFont="1" applyFill="1" applyBorder="1" applyAlignment="1">
      <alignment horizontal="left"/>
    </xf>
    <xf numFmtId="43" fontId="2" fillId="4" borderId="5" xfId="1" applyFont="1" applyFill="1" applyBorder="1" applyAlignment="1">
      <alignment horizontal="right"/>
    </xf>
    <xf numFmtId="43" fontId="9" fillId="9" borderId="1" xfId="1" applyFont="1" applyFill="1" applyBorder="1" applyAlignment="1">
      <alignment horizontal="left" vertical="center"/>
    </xf>
    <xf numFmtId="43" fontId="8" fillId="9" borderId="1" xfId="1" applyFont="1" applyFill="1" applyBorder="1" applyAlignment="1">
      <alignment horizontal="left" vertical="center"/>
    </xf>
    <xf numFmtId="164" fontId="4" fillId="9" borderId="1" xfId="2" applyFont="1" applyFill="1" applyBorder="1" applyAlignment="1">
      <alignment horizontal="right" vertical="center"/>
    </xf>
    <xf numFmtId="0" fontId="13" fillId="4" borderId="0" xfId="0" applyFont="1" applyFill="1" applyAlignment="1">
      <alignment horizontal="left"/>
    </xf>
    <xf numFmtId="164" fontId="9" fillId="9" borderId="1" xfId="2" applyFont="1" applyFill="1" applyBorder="1" applyAlignment="1">
      <alignment horizontal="left" vertical="center"/>
    </xf>
    <xf numFmtId="164" fontId="8" fillId="9" borderId="1" xfId="2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wrapText="1"/>
    </xf>
    <xf numFmtId="49" fontId="2" fillId="4" borderId="9" xfId="0" applyNumberFormat="1" applyFont="1" applyFill="1" applyBorder="1" applyAlignment="1">
      <alignment horizontal="left"/>
    </xf>
    <xf numFmtId="49" fontId="8" fillId="9" borderId="1" xfId="0" applyNumberFormat="1" applyFont="1" applyFill="1" applyBorder="1" applyAlignment="1">
      <alignment horizontal="left" vertical="center"/>
    </xf>
    <xf numFmtId="164" fontId="4" fillId="9" borderId="4" xfId="2" applyFont="1" applyFill="1" applyBorder="1" applyAlignment="1">
      <alignment horizontal="right" vertical="center"/>
    </xf>
    <xf numFmtId="164" fontId="9" fillId="9" borderId="5" xfId="2" applyFont="1" applyFill="1" applyBorder="1" applyAlignment="1">
      <alignment horizontal="left" vertical="center"/>
    </xf>
    <xf numFmtId="164" fontId="8" fillId="9" borderId="5" xfId="2" applyFont="1" applyFill="1" applyBorder="1" applyAlignment="1">
      <alignment horizontal="left" vertical="center"/>
    </xf>
    <xf numFmtId="49" fontId="2" fillId="9" borderId="1" xfId="0" applyNumberFormat="1" applyFont="1" applyFill="1" applyBorder="1" applyAlignment="1">
      <alignment horizontal="left"/>
    </xf>
    <xf numFmtId="43" fontId="10" fillId="9" borderId="1" xfId="1" applyFont="1" applyFill="1" applyBorder="1" applyAlignment="1">
      <alignment horizontal="left"/>
    </xf>
    <xf numFmtId="43" fontId="9" fillId="9" borderId="5" xfId="1" applyFont="1" applyFill="1" applyBorder="1" applyAlignment="1">
      <alignment horizontal="left" vertical="center"/>
    </xf>
    <xf numFmtId="43" fontId="8" fillId="9" borderId="5" xfId="1" applyFont="1" applyFill="1" applyBorder="1" applyAlignment="1">
      <alignment horizontal="left" vertical="center"/>
    </xf>
    <xf numFmtId="43" fontId="9" fillId="9" borderId="2" xfId="1" applyFont="1" applyFill="1" applyBorder="1" applyAlignment="1">
      <alignment horizontal="left" vertical="center"/>
    </xf>
    <xf numFmtId="164" fontId="2" fillId="9" borderId="1" xfId="2" applyFont="1" applyFill="1" applyBorder="1" applyAlignment="1">
      <alignment horizontal="center" vertical="center"/>
    </xf>
    <xf numFmtId="164" fontId="8" fillId="9" borderId="1" xfId="2" applyFont="1" applyFill="1" applyBorder="1" applyAlignment="1">
      <alignment horizontal="center" vertical="center"/>
    </xf>
    <xf numFmtId="0" fontId="12" fillId="9" borderId="1" xfId="2" applyNumberFormat="1" applyFont="1" applyFill="1" applyBorder="1" applyAlignment="1">
      <alignment horizontal="center" vertical="center"/>
    </xf>
    <xf numFmtId="43" fontId="8" fillId="9" borderId="1" xfId="1" applyFont="1" applyFill="1" applyBorder="1" applyAlignment="1">
      <alignment horizontal="center" vertical="center" wrapText="1"/>
    </xf>
    <xf numFmtId="43" fontId="9" fillId="9" borderId="4" xfId="1" applyFont="1" applyFill="1" applyBorder="1" applyAlignment="1">
      <alignment horizontal="left" vertical="center"/>
    </xf>
    <xf numFmtId="43" fontId="8" fillId="9" borderId="4" xfId="1" applyFont="1" applyFill="1" applyBorder="1" applyAlignment="1">
      <alignment horizontal="left" vertical="center"/>
    </xf>
    <xf numFmtId="43" fontId="9" fillId="9" borderId="1" xfId="1" applyFont="1" applyFill="1" applyBorder="1" applyAlignment="1">
      <alignment horizontal="center" vertical="center"/>
    </xf>
    <xf numFmtId="43" fontId="8" fillId="9" borderId="1" xfId="1" applyFont="1" applyFill="1" applyBorder="1" applyAlignment="1">
      <alignment horizontal="center" vertical="center"/>
    </xf>
    <xf numFmtId="43" fontId="12" fillId="9" borderId="1" xfId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0" xfId="0" applyFont="1" applyFill="1" applyAlignment="1">
      <alignment horizontal="left"/>
    </xf>
    <xf numFmtId="49" fontId="2" fillId="9" borderId="8" xfId="0" applyNumberFormat="1" applyFont="1" applyFill="1" applyBorder="1" applyAlignment="1">
      <alignment horizontal="left"/>
    </xf>
    <xf numFmtId="49" fontId="2" fillId="9" borderId="3" xfId="0" applyNumberFormat="1" applyFont="1" applyFill="1" applyBorder="1" applyAlignment="1">
      <alignment horizontal="left"/>
    </xf>
    <xf numFmtId="0" fontId="13" fillId="9" borderId="0" xfId="0" applyFont="1" applyFill="1" applyAlignment="1">
      <alignment horizontal="left"/>
    </xf>
    <xf numFmtId="49" fontId="8" fillId="9" borderId="4" xfId="0" applyNumberFormat="1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43" fontId="8" fillId="9" borderId="4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43" fontId="4" fillId="9" borderId="1" xfId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left" vertical="center"/>
    </xf>
    <xf numFmtId="43" fontId="8" fillId="10" borderId="1" xfId="1" applyFont="1" applyFill="1" applyBorder="1" applyAlignment="1">
      <alignment horizontal="left" vertical="center"/>
    </xf>
    <xf numFmtId="43" fontId="4" fillId="10" borderId="1" xfId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left"/>
    </xf>
    <xf numFmtId="43" fontId="2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/>
    <xf numFmtId="43" fontId="3" fillId="0" borderId="0" xfId="1" applyFont="1" applyAlignment="1">
      <alignment horizontal="center" vertical="center"/>
    </xf>
    <xf numFmtId="0" fontId="2" fillId="6" borderId="0" xfId="0" applyFont="1" applyFill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43" fontId="3" fillId="0" borderId="5" xfId="1" applyFont="1" applyBorder="1"/>
    <xf numFmtId="43" fontId="16" fillId="0" borderId="5" xfId="1" applyFont="1" applyBorder="1"/>
    <xf numFmtId="43" fontId="2" fillId="4" borderId="0" xfId="1" applyFont="1" applyFill="1" applyBorder="1" applyAlignment="1">
      <alignment horizontal="left"/>
    </xf>
    <xf numFmtId="164" fontId="2" fillId="4" borderId="0" xfId="2" applyFont="1" applyFill="1" applyBorder="1" applyAlignment="1">
      <alignment horizontal="left"/>
    </xf>
    <xf numFmtId="43" fontId="13" fillId="4" borderId="0" xfId="1" applyFont="1" applyFill="1" applyBorder="1" applyAlignment="1">
      <alignment horizontal="left"/>
    </xf>
    <xf numFmtId="43" fontId="3" fillId="6" borderId="0" xfId="1" applyFont="1" applyFill="1" applyBorder="1"/>
    <xf numFmtId="164" fontId="3" fillId="6" borderId="0" xfId="2" applyFont="1" applyFill="1" applyBorder="1"/>
    <xf numFmtId="43" fontId="16" fillId="6" borderId="0" xfId="1" applyFont="1" applyFill="1" applyBorder="1"/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 horizontal="left"/>
    </xf>
    <xf numFmtId="0" fontId="12" fillId="4" borderId="1" xfId="2" applyNumberFormat="1" applyFont="1" applyFill="1" applyBorder="1" applyAlignment="1">
      <alignment horizontal="center"/>
    </xf>
    <xf numFmtId="0" fontId="12" fillId="9" borderId="1" xfId="2" applyNumberFormat="1" applyFont="1" applyFill="1" applyBorder="1" applyAlignment="1">
      <alignment horizontal="center"/>
    </xf>
    <xf numFmtId="43" fontId="12" fillId="4" borderId="1" xfId="1" applyFont="1" applyFill="1" applyBorder="1" applyAlignment="1">
      <alignment horizontal="center"/>
    </xf>
    <xf numFmtId="43" fontId="12" fillId="9" borderId="1" xfId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4" borderId="1" xfId="1" applyNumberFormat="1" applyFont="1" applyFill="1" applyBorder="1" applyAlignment="1">
      <alignment horizontal="center"/>
    </xf>
    <xf numFmtId="0" fontId="12" fillId="8" borderId="1" xfId="2" applyNumberFormat="1" applyFont="1" applyFill="1" applyBorder="1" applyAlignment="1">
      <alignment horizontal="center"/>
    </xf>
    <xf numFmtId="49" fontId="12" fillId="9" borderId="1" xfId="0" applyNumberFormat="1" applyFont="1" applyFill="1" applyBorder="1" applyAlignment="1">
      <alignment horizontal="center"/>
    </xf>
    <xf numFmtId="43" fontId="12" fillId="8" borderId="1" xfId="1" applyFont="1" applyFill="1" applyBorder="1" applyAlignment="1">
      <alignment horizontal="center" vertical="center"/>
    </xf>
    <xf numFmtId="0" fontId="12" fillId="5" borderId="1" xfId="2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49" fontId="17" fillId="11" borderId="11" xfId="3" applyNumberFormat="1" applyFont="1" applyFill="1" applyBorder="1" applyAlignment="1">
      <alignment horizontal="center" vertical="center" wrapText="1"/>
    </xf>
    <xf numFmtId="0" fontId="17" fillId="11" borderId="11" xfId="3" applyFont="1" applyFill="1" applyBorder="1" applyAlignment="1">
      <alignment horizontal="center" vertical="center" wrapText="1"/>
    </xf>
    <xf numFmtId="43" fontId="18" fillId="12" borderId="11" xfId="1" applyFont="1" applyFill="1" applyBorder="1" applyAlignment="1">
      <alignment horizontal="center" vertical="center" wrapText="1"/>
    </xf>
    <xf numFmtId="43" fontId="18" fillId="12" borderId="0" xfId="1" applyFont="1" applyFill="1" applyBorder="1" applyAlignment="1">
      <alignment vertical="center" wrapText="1"/>
    </xf>
    <xf numFmtId="43" fontId="18" fillId="12" borderId="4" xfId="1" applyFont="1" applyFill="1" applyBorder="1" applyAlignment="1">
      <alignment vertical="center" wrapText="1"/>
    </xf>
    <xf numFmtId="43" fontId="18" fillId="12" borderId="0" xfId="1" applyFont="1" applyFill="1" applyBorder="1" applyAlignment="1">
      <alignment horizontal="center" vertical="center" wrapText="1"/>
    </xf>
    <xf numFmtId="0" fontId="19" fillId="2" borderId="0" xfId="3" applyFont="1" applyFill="1" applyAlignment="1">
      <alignment horizontal="left"/>
    </xf>
    <xf numFmtId="49" fontId="2" fillId="3" borderId="1" xfId="3" applyNumberFormat="1" applyFont="1" applyFill="1" applyBorder="1" applyAlignment="1">
      <alignment horizontal="left"/>
    </xf>
    <xf numFmtId="43" fontId="2" fillId="2" borderId="1" xfId="1" applyFont="1" applyFill="1" applyBorder="1" applyAlignment="1">
      <alignment vertical="center"/>
    </xf>
    <xf numFmtId="0" fontId="2" fillId="2" borderId="1" xfId="3" applyFont="1" applyFill="1" applyBorder="1" applyAlignment="1">
      <alignment horizontal="right"/>
    </xf>
    <xf numFmtId="49" fontId="2" fillId="2" borderId="1" xfId="3" applyNumberFormat="1" applyFont="1" applyFill="1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3" borderId="1" xfId="3" applyFont="1" applyFill="1" applyBorder="1" applyAlignment="1">
      <alignment horizontal="left"/>
    </xf>
    <xf numFmtId="49" fontId="2" fillId="4" borderId="1" xfId="3" applyNumberFormat="1" applyFont="1" applyFill="1" applyBorder="1" applyAlignment="1">
      <alignment horizontal="left"/>
    </xf>
    <xf numFmtId="0" fontId="2" fillId="4" borderId="1" xfId="3" applyFont="1" applyFill="1" applyBorder="1" applyAlignment="1">
      <alignment horizontal="left"/>
    </xf>
    <xf numFmtId="43" fontId="2" fillId="4" borderId="1" xfId="1" applyFont="1" applyFill="1" applyBorder="1" applyAlignment="1">
      <alignment vertical="center"/>
    </xf>
    <xf numFmtId="0" fontId="2" fillId="4" borderId="1" xfId="3" applyFont="1" applyFill="1" applyBorder="1" applyAlignment="1">
      <alignment horizontal="right"/>
    </xf>
    <xf numFmtId="43" fontId="8" fillId="13" borderId="1" xfId="1" applyFont="1" applyFill="1" applyBorder="1" applyAlignment="1">
      <alignment horizontal="left" vertical="center"/>
    </xf>
    <xf numFmtId="43" fontId="4" fillId="13" borderId="1" xfId="1" applyFont="1" applyFill="1" applyBorder="1" applyAlignment="1">
      <alignment vertical="center"/>
    </xf>
    <xf numFmtId="3" fontId="4" fillId="13" borderId="1" xfId="3" applyNumberFormat="1" applyFont="1" applyFill="1" applyBorder="1" applyAlignment="1">
      <alignment horizontal="right" vertical="center"/>
    </xf>
    <xf numFmtId="49" fontId="20" fillId="4" borderId="12" xfId="3" applyNumberFormat="1" applyFont="1" applyFill="1" applyBorder="1" applyAlignment="1">
      <alignment horizontal="left" vertical="center"/>
    </xf>
    <xf numFmtId="43" fontId="20" fillId="4" borderId="12" xfId="1" applyFont="1" applyFill="1" applyBorder="1" applyAlignment="1">
      <alignment horizontal="left" vertical="center"/>
    </xf>
    <xf numFmtId="43" fontId="20" fillId="4" borderId="12" xfId="1" applyFont="1" applyFill="1" applyBorder="1" applyAlignment="1">
      <alignment vertical="center"/>
    </xf>
    <xf numFmtId="0" fontId="21" fillId="2" borderId="0" xfId="3" applyFont="1" applyFill="1" applyAlignment="1">
      <alignment horizontal="left"/>
    </xf>
    <xf numFmtId="43" fontId="21" fillId="2" borderId="0" xfId="1" applyFont="1" applyFill="1" applyAlignment="1">
      <alignment horizontal="left"/>
    </xf>
    <xf numFmtId="43" fontId="21" fillId="2" borderId="0" xfId="1" applyFont="1" applyFill="1" applyAlignment="1">
      <alignment vertical="center"/>
    </xf>
    <xf numFmtId="43" fontId="21" fillId="2" borderId="4" xfId="1" applyFont="1" applyFill="1" applyBorder="1" applyAlignment="1">
      <alignment vertical="center"/>
    </xf>
    <xf numFmtId="43" fontId="4" fillId="13" borderId="1" xfId="1" applyFont="1" applyFill="1" applyBorder="1" applyAlignment="1">
      <alignment horizontal="right" vertical="center"/>
    </xf>
    <xf numFmtId="49" fontId="2" fillId="6" borderId="1" xfId="3" applyNumberFormat="1" applyFont="1" applyFill="1" applyBorder="1" applyAlignment="1">
      <alignment horizontal="left"/>
    </xf>
    <xf numFmtId="0" fontId="2" fillId="6" borderId="1" xfId="3" applyFont="1" applyFill="1" applyBorder="1" applyAlignment="1">
      <alignment horizontal="left"/>
    </xf>
    <xf numFmtId="43" fontId="2" fillId="6" borderId="1" xfId="1" applyFont="1" applyFill="1" applyBorder="1" applyAlignment="1">
      <alignment horizontal="left"/>
    </xf>
    <xf numFmtId="43" fontId="2" fillId="6" borderId="1" xfId="1" applyFont="1" applyFill="1" applyBorder="1" applyAlignment="1">
      <alignment vertical="center"/>
    </xf>
    <xf numFmtId="0" fontId="19" fillId="0" borderId="0" xfId="3" applyFont="1" applyAlignment="1">
      <alignment horizontal="left"/>
    </xf>
    <xf numFmtId="0" fontId="5" fillId="2" borderId="0" xfId="3" applyFont="1" applyFill="1" applyAlignment="1">
      <alignment horizontal="left"/>
    </xf>
    <xf numFmtId="43" fontId="5" fillId="2" borderId="0" xfId="1" applyFont="1" applyFill="1" applyAlignment="1">
      <alignment horizontal="left"/>
    </xf>
    <xf numFmtId="43" fontId="5" fillId="2" borderId="0" xfId="1" applyFont="1" applyFill="1" applyAlignment="1">
      <alignment vertical="center"/>
    </xf>
    <xf numFmtId="0" fontId="2" fillId="2" borderId="0" xfId="3" applyFont="1" applyFill="1" applyAlignment="1">
      <alignment horizontal="left"/>
    </xf>
    <xf numFmtId="0" fontId="19" fillId="4" borderId="0" xfId="3" applyFont="1" applyFill="1" applyAlignment="1">
      <alignment horizontal="left"/>
    </xf>
    <xf numFmtId="49" fontId="2" fillId="4" borderId="1" xfId="3" applyNumberFormat="1" applyFont="1" applyFill="1" applyBorder="1" applyAlignment="1">
      <alignment horizontal="left" wrapText="1"/>
    </xf>
    <xf numFmtId="0" fontId="21" fillId="4" borderId="0" xfId="3" applyFont="1" applyFill="1" applyAlignment="1">
      <alignment horizontal="left"/>
    </xf>
    <xf numFmtId="43" fontId="21" fillId="4" borderId="0" xfId="1" applyFont="1" applyFill="1" applyAlignment="1">
      <alignment horizontal="left"/>
    </xf>
    <xf numFmtId="43" fontId="21" fillId="4" borderId="0" xfId="1" applyFont="1" applyFill="1" applyAlignment="1">
      <alignment vertical="center"/>
    </xf>
    <xf numFmtId="0" fontId="2" fillId="4" borderId="0" xfId="3" applyFont="1" applyFill="1" applyAlignment="1">
      <alignment horizontal="left"/>
    </xf>
    <xf numFmtId="43" fontId="8" fillId="14" borderId="1" xfId="1" applyFont="1" applyFill="1" applyBorder="1" applyAlignment="1">
      <alignment horizontal="left" vertical="center"/>
    </xf>
    <xf numFmtId="43" fontId="4" fillId="14" borderId="1" xfId="1" applyFont="1" applyFill="1" applyBorder="1" applyAlignment="1">
      <alignment vertical="center"/>
    </xf>
    <xf numFmtId="3" fontId="4" fillId="14" borderId="1" xfId="3" applyNumberFormat="1" applyFont="1" applyFill="1" applyBorder="1" applyAlignment="1">
      <alignment horizontal="right" vertical="center"/>
    </xf>
    <xf numFmtId="0" fontId="22" fillId="4" borderId="0" xfId="3" applyFont="1" applyFill="1" applyAlignment="1">
      <alignment horizontal="left"/>
    </xf>
    <xf numFmtId="43" fontId="5" fillId="4" borderId="1" xfId="1" applyFont="1" applyFill="1" applyBorder="1" applyAlignment="1">
      <alignment horizontal="left"/>
    </xf>
    <xf numFmtId="43" fontId="20" fillId="13" borderId="1" xfId="1" applyFont="1" applyFill="1" applyBorder="1" applyAlignment="1">
      <alignment horizontal="left" vertical="center"/>
    </xf>
    <xf numFmtId="43" fontId="23" fillId="13" borderId="1" xfId="1" applyFont="1" applyFill="1" applyBorder="1" applyAlignment="1">
      <alignment vertical="center"/>
    </xf>
    <xf numFmtId="43" fontId="23" fillId="13" borderId="1" xfId="1" applyFont="1" applyFill="1" applyBorder="1" applyAlignment="1">
      <alignment horizontal="right" vertical="center"/>
    </xf>
    <xf numFmtId="0" fontId="13" fillId="2" borderId="0" xfId="3" applyFont="1" applyFill="1" applyAlignment="1">
      <alignment horizontal="left"/>
    </xf>
    <xf numFmtId="4" fontId="2" fillId="4" borderId="1" xfId="3" applyNumberFormat="1" applyFont="1" applyFill="1" applyBorder="1" applyAlignment="1">
      <alignment horizontal="left"/>
    </xf>
    <xf numFmtId="0" fontId="2" fillId="4" borderId="1" xfId="3" applyFont="1" applyFill="1" applyBorder="1" applyAlignment="1">
      <alignment vertical="center"/>
    </xf>
    <xf numFmtId="4" fontId="2" fillId="4" borderId="1" xfId="3" applyNumberFormat="1" applyFont="1" applyFill="1" applyBorder="1" applyAlignment="1">
      <alignment vertical="center"/>
    </xf>
    <xf numFmtId="0" fontId="2" fillId="4" borderId="1" xfId="1" applyNumberFormat="1" applyFont="1" applyFill="1" applyBorder="1" applyAlignment="1">
      <alignment horizontal="right"/>
    </xf>
    <xf numFmtId="0" fontId="13" fillId="4" borderId="0" xfId="3" applyFont="1" applyFill="1" applyAlignment="1">
      <alignment horizontal="left"/>
    </xf>
    <xf numFmtId="0" fontId="19" fillId="6" borderId="0" xfId="3" applyFont="1" applyFill="1" applyAlignment="1">
      <alignment horizontal="left"/>
    </xf>
    <xf numFmtId="49" fontId="2" fillId="4" borderId="1" xfId="3" applyNumberFormat="1" applyFont="1" applyFill="1" applyBorder="1" applyAlignment="1">
      <alignment vertical="center"/>
    </xf>
    <xf numFmtId="49" fontId="20" fillId="4" borderId="0" xfId="3" applyNumberFormat="1" applyFont="1" applyFill="1" applyAlignment="1">
      <alignment horizontal="left" vertical="center"/>
    </xf>
    <xf numFmtId="43" fontId="20" fillId="4" borderId="0" xfId="1" applyFont="1" applyFill="1" applyAlignment="1">
      <alignment horizontal="left" vertical="center"/>
    </xf>
    <xf numFmtId="43" fontId="20" fillId="4" borderId="0" xfId="1" applyFont="1" applyFill="1" applyAlignment="1">
      <alignment vertical="center"/>
    </xf>
    <xf numFmtId="0" fontId="8" fillId="13" borderId="1" xfId="3" applyFont="1" applyFill="1" applyBorder="1" applyAlignment="1">
      <alignment horizontal="left" vertical="center"/>
    </xf>
    <xf numFmtId="43" fontId="8" fillId="13" borderId="1" xfId="1" applyFont="1" applyFill="1" applyBorder="1" applyAlignment="1">
      <alignment vertical="center"/>
    </xf>
    <xf numFmtId="0" fontId="4" fillId="13" borderId="1" xfId="3" applyFont="1" applyFill="1" applyBorder="1" applyAlignment="1">
      <alignment horizontal="right" vertical="center"/>
    </xf>
    <xf numFmtId="49" fontId="8" fillId="4" borderId="1" xfId="3" applyNumberFormat="1" applyFont="1" applyFill="1" applyBorder="1" applyAlignment="1">
      <alignment horizontal="left" vertical="center"/>
    </xf>
    <xf numFmtId="3" fontId="23" fillId="13" borderId="1" xfId="3" applyNumberFormat="1" applyFont="1" applyFill="1" applyBorder="1" applyAlignment="1">
      <alignment horizontal="right" vertical="center"/>
    </xf>
    <xf numFmtId="43" fontId="2" fillId="13" borderId="1" xfId="1" applyFont="1" applyFill="1" applyBorder="1" applyAlignment="1">
      <alignment horizontal="right" vertical="center"/>
    </xf>
    <xf numFmtId="0" fontId="2" fillId="6" borderId="1" xfId="3" applyFont="1" applyFill="1" applyBorder="1" applyAlignment="1">
      <alignment horizontal="right"/>
    </xf>
    <xf numFmtId="49" fontId="19" fillId="4" borderId="1" xfId="3" applyNumberFormat="1" applyFont="1" applyFill="1" applyBorder="1" applyAlignment="1">
      <alignment horizontal="left"/>
    </xf>
    <xf numFmtId="43" fontId="19" fillId="4" borderId="1" xfId="1" applyFont="1" applyFill="1" applyBorder="1" applyAlignment="1">
      <alignment horizontal="left"/>
    </xf>
    <xf numFmtId="43" fontId="19" fillId="4" borderId="1" xfId="1" applyFont="1" applyFill="1" applyBorder="1" applyAlignment="1">
      <alignment vertical="center"/>
    </xf>
    <xf numFmtId="0" fontId="19" fillId="4" borderId="1" xfId="3" applyFont="1" applyFill="1" applyBorder="1" applyAlignment="1">
      <alignment horizontal="right"/>
    </xf>
    <xf numFmtId="0" fontId="19" fillId="4" borderId="1" xfId="3" applyFont="1" applyFill="1" applyBorder="1" applyAlignment="1">
      <alignment horizontal="left"/>
    </xf>
    <xf numFmtId="43" fontId="20" fillId="13" borderId="5" xfId="1" applyFont="1" applyFill="1" applyBorder="1" applyAlignment="1">
      <alignment horizontal="left" vertical="center"/>
    </xf>
    <xf numFmtId="43" fontId="23" fillId="13" borderId="10" xfId="1" applyFont="1" applyFill="1" applyBorder="1" applyAlignment="1">
      <alignment vertical="center"/>
    </xf>
    <xf numFmtId="43" fontId="23" fillId="13" borderId="5" xfId="1" applyFont="1" applyFill="1" applyBorder="1" applyAlignment="1">
      <alignment vertical="center"/>
    </xf>
    <xf numFmtId="3" fontId="23" fillId="13" borderId="5" xfId="3" applyNumberFormat="1" applyFont="1" applyFill="1" applyBorder="1" applyAlignment="1">
      <alignment horizontal="right" vertical="center"/>
    </xf>
    <xf numFmtId="49" fontId="8" fillId="13" borderId="1" xfId="3" applyNumberFormat="1" applyFont="1" applyFill="1" applyBorder="1" applyAlignment="1">
      <alignment vertical="center"/>
    </xf>
    <xf numFmtId="0" fontId="1" fillId="0" borderId="0" xfId="3"/>
    <xf numFmtId="43" fontId="0" fillId="0" borderId="0" xfId="1" applyFont="1"/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8" fillId="9" borderId="1" xfId="1" applyFont="1" applyFill="1" applyBorder="1" applyAlignment="1">
      <alignment horizontal="left" vertical="center"/>
    </xf>
    <xf numFmtId="43" fontId="8" fillId="9" borderId="1" xfId="1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left" vertical="center"/>
    </xf>
    <xf numFmtId="49" fontId="8" fillId="9" borderId="1" xfId="0" applyNumberFormat="1" applyFont="1" applyFill="1" applyBorder="1" applyAlignment="1">
      <alignment horizontal="center" vertical="center"/>
    </xf>
    <xf numFmtId="43" fontId="8" fillId="9" borderId="4" xfId="1" applyFont="1" applyFill="1" applyBorder="1" applyAlignment="1">
      <alignment horizontal="left" vertical="center"/>
    </xf>
    <xf numFmtId="49" fontId="8" fillId="9" borderId="6" xfId="0" applyNumberFormat="1" applyFont="1" applyFill="1" applyBorder="1" applyAlignment="1">
      <alignment horizontal="left" vertical="center"/>
    </xf>
    <xf numFmtId="49" fontId="8" fillId="9" borderId="7" xfId="0" applyNumberFormat="1" applyFont="1" applyFill="1" applyBorder="1" applyAlignment="1">
      <alignment horizontal="left" vertical="center"/>
    </xf>
    <xf numFmtId="49" fontId="8" fillId="9" borderId="2" xfId="0" applyNumberFormat="1" applyFont="1" applyFill="1" applyBorder="1" applyAlignment="1">
      <alignment horizontal="left" vertical="center"/>
    </xf>
    <xf numFmtId="43" fontId="8" fillId="9" borderId="6" xfId="1" applyFont="1" applyFill="1" applyBorder="1" applyAlignment="1">
      <alignment horizontal="left" vertical="center"/>
    </xf>
    <xf numFmtId="43" fontId="8" fillId="9" borderId="7" xfId="1" applyFont="1" applyFill="1" applyBorder="1" applyAlignment="1">
      <alignment horizontal="left" vertical="center"/>
    </xf>
    <xf numFmtId="43" fontId="8" fillId="9" borderId="2" xfId="1" applyFont="1" applyFill="1" applyBorder="1" applyAlignment="1">
      <alignment horizontal="left" vertical="center"/>
    </xf>
    <xf numFmtId="49" fontId="8" fillId="5" borderId="1" xfId="0" applyNumberFormat="1" applyFont="1" applyFill="1" applyBorder="1" applyAlignment="1">
      <alignment horizontal="left" vertical="center"/>
    </xf>
    <xf numFmtId="49" fontId="20" fillId="13" borderId="1" xfId="3" applyNumberFormat="1" applyFont="1" applyFill="1" applyBorder="1" applyAlignment="1">
      <alignment horizontal="left" vertical="center"/>
    </xf>
    <xf numFmtId="49" fontId="8" fillId="13" borderId="1" xfId="3" applyNumberFormat="1" applyFont="1" applyFill="1" applyBorder="1" applyAlignment="1">
      <alignment horizontal="left" vertical="center"/>
    </xf>
    <xf numFmtId="49" fontId="20" fillId="13" borderId="13" xfId="3" applyNumberFormat="1" applyFont="1" applyFill="1" applyBorder="1" applyAlignment="1">
      <alignment horizontal="left" vertical="center"/>
    </xf>
    <xf numFmtId="49" fontId="20" fillId="13" borderId="14" xfId="3" applyNumberFormat="1" applyFont="1" applyFill="1" applyBorder="1" applyAlignment="1">
      <alignment horizontal="left" vertical="center"/>
    </xf>
    <xf numFmtId="49" fontId="8" fillId="10" borderId="1" xfId="0" applyNumberFormat="1" applyFont="1" applyFill="1" applyBorder="1" applyAlignment="1">
      <alignment horizontal="left" vertical="center"/>
    </xf>
    <xf numFmtId="49" fontId="8" fillId="14" borderId="1" xfId="3" applyNumberFormat="1" applyFont="1" applyFill="1" applyBorder="1" applyAlignment="1">
      <alignment horizontal="left" vertical="center"/>
    </xf>
  </cellXfs>
  <cellStyles count="4">
    <cellStyle name="Millares" xfId="1" builtinId="3"/>
    <cellStyle name="Moneda" xfId="2" builtinId="4"/>
    <cellStyle name="Normal" xfId="0" builtinId="0"/>
    <cellStyle name="Normal 2" xfId="3" xr:uid="{867C3632-B07B-4FB2-B1EF-A6D70AD2A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52"/>
  <sheetViews>
    <sheetView tabSelected="1" topLeftCell="E1" zoomScale="160" zoomScaleNormal="160" zoomScaleSheetLayoutView="110" workbookViewId="0">
      <pane ySplit="1" topLeftCell="A317" activePane="bottomLeft" state="frozen"/>
      <selection activeCell="B1" sqref="B1"/>
      <selection pane="bottomLeft" activeCell="M322" sqref="M322"/>
    </sheetView>
  </sheetViews>
  <sheetFormatPr baseColWidth="10" defaultColWidth="11.42578125" defaultRowHeight="12.75" x14ac:dyDescent="0.2"/>
  <cols>
    <col min="1" max="1" width="6.7109375" style="16" customWidth="1"/>
    <col min="2" max="2" width="13.140625" style="16" customWidth="1"/>
    <col min="3" max="3" width="12" style="28" customWidth="1"/>
    <col min="4" max="4" width="34.28515625" style="29" customWidth="1"/>
    <col min="5" max="5" width="7.7109375" style="28" customWidth="1"/>
    <col min="6" max="6" width="13.5703125" style="17" customWidth="1"/>
    <col min="7" max="7" width="12.28515625" style="17" bestFit="1" customWidth="1"/>
    <col min="8" max="8" width="11.140625" style="17" customWidth="1"/>
    <col min="9" max="9" width="16.7109375" style="73" bestFit="1" customWidth="1"/>
    <col min="10" max="10" width="15" style="17" bestFit="1" customWidth="1"/>
    <col min="11" max="11" width="14.85546875" style="17" bestFit="1" customWidth="1"/>
    <col min="12" max="12" width="20.140625" style="173" customWidth="1"/>
    <col min="13" max="114" width="11.42578125" style="30"/>
    <col min="115" max="16384" width="11.42578125" style="31"/>
  </cols>
  <sheetData>
    <row r="1" spans="1:114" s="40" customFormat="1" ht="31.9" customHeight="1" x14ac:dyDescent="0.15">
      <c r="A1" s="112" t="s">
        <v>0</v>
      </c>
      <c r="B1" s="112" t="s">
        <v>429</v>
      </c>
      <c r="C1" s="112" t="s">
        <v>1</v>
      </c>
      <c r="D1" s="112" t="s">
        <v>428</v>
      </c>
      <c r="E1" s="112" t="s">
        <v>2</v>
      </c>
      <c r="F1" s="112" t="s">
        <v>3</v>
      </c>
      <c r="G1" s="112" t="s">
        <v>430</v>
      </c>
      <c r="H1" s="112" t="s">
        <v>398</v>
      </c>
      <c r="I1" s="112" t="s">
        <v>4</v>
      </c>
      <c r="J1" s="112" t="s">
        <v>527</v>
      </c>
      <c r="K1" s="112" t="s">
        <v>432</v>
      </c>
      <c r="L1" s="112" t="s">
        <v>399</v>
      </c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</row>
    <row r="2" spans="1:114" s="9" customFormat="1" ht="8.65" customHeight="1" x14ac:dyDescent="0.15">
      <c r="A2" s="8" t="s">
        <v>5</v>
      </c>
      <c r="B2" s="8" t="s">
        <v>6</v>
      </c>
      <c r="C2" s="32" t="s">
        <v>7</v>
      </c>
      <c r="D2" s="8" t="s">
        <v>8</v>
      </c>
      <c r="E2" s="32" t="s">
        <v>9</v>
      </c>
      <c r="F2" s="18" t="s">
        <v>10</v>
      </c>
      <c r="G2" s="2"/>
      <c r="H2" s="2"/>
      <c r="I2" s="51">
        <v>15000000</v>
      </c>
      <c r="J2" s="2"/>
      <c r="K2" s="18">
        <f>+I2</f>
        <v>15000000</v>
      </c>
      <c r="L2" s="160"/>
    </row>
    <row r="3" spans="1:114" s="9" customFormat="1" ht="8.65" customHeight="1" x14ac:dyDescent="0.15">
      <c r="A3" s="8" t="s">
        <v>5</v>
      </c>
      <c r="B3" s="8" t="s">
        <v>433</v>
      </c>
      <c r="C3" s="32" t="s">
        <v>92</v>
      </c>
      <c r="D3" s="8" t="s">
        <v>132</v>
      </c>
      <c r="E3" s="32" t="s">
        <v>9</v>
      </c>
      <c r="F3" s="18"/>
      <c r="G3" s="2"/>
      <c r="H3" s="2"/>
      <c r="I3" s="51">
        <v>2725025.4</v>
      </c>
      <c r="J3" s="2">
        <v>2721340.58</v>
      </c>
      <c r="K3" s="18">
        <f>+I3-J3</f>
        <v>3684.8199999998324</v>
      </c>
      <c r="L3" s="160"/>
    </row>
    <row r="4" spans="1:114" s="9" customFormat="1" ht="8.65" customHeight="1" x14ac:dyDescent="0.15">
      <c r="A4" s="8" t="s">
        <v>5</v>
      </c>
      <c r="B4" s="8" t="s">
        <v>11</v>
      </c>
      <c r="C4" s="32" t="s">
        <v>12</v>
      </c>
      <c r="D4" s="8" t="s">
        <v>13</v>
      </c>
      <c r="E4" s="32" t="s">
        <v>9</v>
      </c>
      <c r="F4" s="18"/>
      <c r="G4" s="2"/>
      <c r="H4" s="2"/>
      <c r="I4" s="51">
        <v>1000000</v>
      </c>
      <c r="J4" s="2"/>
      <c r="K4" s="18">
        <f>+I4</f>
        <v>1000000</v>
      </c>
      <c r="L4" s="160"/>
    </row>
    <row r="5" spans="1:114" s="9" customFormat="1" ht="8.65" customHeight="1" x14ac:dyDescent="0.15">
      <c r="A5" s="8" t="s">
        <v>5</v>
      </c>
      <c r="B5" s="8" t="s">
        <v>14</v>
      </c>
      <c r="C5" s="32" t="s">
        <v>12</v>
      </c>
      <c r="D5" s="8" t="s">
        <v>15</v>
      </c>
      <c r="E5" s="32" t="s">
        <v>9</v>
      </c>
      <c r="F5" s="18"/>
      <c r="G5" s="2"/>
      <c r="H5" s="2"/>
      <c r="I5" s="51">
        <v>140000</v>
      </c>
      <c r="J5" s="2"/>
      <c r="K5" s="18">
        <f>+I5</f>
        <v>140000</v>
      </c>
      <c r="L5" s="160"/>
    </row>
    <row r="6" spans="1:114" s="9" customFormat="1" ht="8.65" customHeight="1" x14ac:dyDescent="0.15">
      <c r="A6" s="8" t="s">
        <v>5</v>
      </c>
      <c r="B6" s="8" t="s">
        <v>16</v>
      </c>
      <c r="C6" s="32" t="s">
        <v>17</v>
      </c>
      <c r="D6" s="8" t="s">
        <v>18</v>
      </c>
      <c r="E6" s="32" t="s">
        <v>9</v>
      </c>
      <c r="F6" s="18"/>
      <c r="G6" s="2"/>
      <c r="H6" s="2"/>
      <c r="I6" s="51">
        <v>6000000</v>
      </c>
      <c r="J6" s="2"/>
      <c r="K6" s="18">
        <f>+I6</f>
        <v>6000000</v>
      </c>
      <c r="L6" s="160"/>
    </row>
    <row r="7" spans="1:114" s="9" customFormat="1" ht="8.65" customHeight="1" x14ac:dyDescent="0.15">
      <c r="A7" s="8" t="s">
        <v>5</v>
      </c>
      <c r="B7" s="8" t="s">
        <v>19</v>
      </c>
      <c r="C7" s="32" t="s">
        <v>20</v>
      </c>
      <c r="D7" s="8" t="s">
        <v>21</v>
      </c>
      <c r="E7" s="32" t="s">
        <v>9</v>
      </c>
      <c r="F7" s="18"/>
      <c r="G7" s="2">
        <v>1169975</v>
      </c>
      <c r="H7" s="2"/>
      <c r="I7" s="51">
        <v>22543422</v>
      </c>
      <c r="J7" s="2">
        <f>4972000+6828025</f>
        <v>11800025</v>
      </c>
      <c r="K7" s="18">
        <f>+I7-J7</f>
        <v>10743397</v>
      </c>
      <c r="L7" s="160" t="s">
        <v>630</v>
      </c>
    </row>
    <row r="8" spans="1:114" s="9" customFormat="1" ht="8.65" customHeight="1" x14ac:dyDescent="0.15">
      <c r="A8" s="8" t="s">
        <v>5</v>
      </c>
      <c r="B8" s="8" t="s">
        <v>22</v>
      </c>
      <c r="C8" s="32" t="s">
        <v>20</v>
      </c>
      <c r="D8" s="8" t="s">
        <v>23</v>
      </c>
      <c r="E8" s="32" t="s">
        <v>9</v>
      </c>
      <c r="F8" s="18"/>
      <c r="G8" s="2"/>
      <c r="H8" s="2"/>
      <c r="I8" s="51">
        <v>6000000</v>
      </c>
      <c r="J8" s="2"/>
      <c r="K8" s="18">
        <f>+I8</f>
        <v>6000000</v>
      </c>
      <c r="L8" s="160"/>
    </row>
    <row r="9" spans="1:114" s="9" customFormat="1" ht="8.65" customHeight="1" x14ac:dyDescent="0.15">
      <c r="A9" s="8" t="s">
        <v>5</v>
      </c>
      <c r="B9" s="8" t="s">
        <v>24</v>
      </c>
      <c r="C9" s="32" t="s">
        <v>25</v>
      </c>
      <c r="D9" s="8" t="s">
        <v>26</v>
      </c>
      <c r="E9" s="32" t="s">
        <v>9</v>
      </c>
      <c r="F9" s="18"/>
      <c r="G9" s="2"/>
      <c r="H9" s="2"/>
      <c r="I9" s="51">
        <v>15000000</v>
      </c>
      <c r="J9" s="2">
        <v>4509152</v>
      </c>
      <c r="K9" s="18">
        <f>+I9-J9</f>
        <v>10490848</v>
      </c>
      <c r="L9" s="160"/>
    </row>
    <row r="10" spans="1:114" s="9" customFormat="1" ht="8.65" customHeight="1" x14ac:dyDescent="0.15">
      <c r="A10" s="8" t="s">
        <v>5</v>
      </c>
      <c r="B10" s="8" t="s">
        <v>27</v>
      </c>
      <c r="C10" s="32" t="s">
        <v>28</v>
      </c>
      <c r="D10" s="8" t="s">
        <v>29</v>
      </c>
      <c r="E10" s="32" t="s">
        <v>9</v>
      </c>
      <c r="F10" s="18"/>
      <c r="G10" s="2"/>
      <c r="H10" s="18">
        <v>10000000</v>
      </c>
      <c r="I10" s="51">
        <f>16000000-H10</f>
        <v>6000000</v>
      </c>
      <c r="J10" s="2">
        <v>3395584.46</v>
      </c>
      <c r="K10" s="18">
        <f>+I10-J10</f>
        <v>2604415.54</v>
      </c>
      <c r="L10" s="160" t="s">
        <v>629</v>
      </c>
    </row>
    <row r="11" spans="1:114" s="9" customFormat="1" ht="8.65" customHeight="1" x14ac:dyDescent="0.15">
      <c r="A11" s="8" t="s">
        <v>5</v>
      </c>
      <c r="B11" s="8" t="s">
        <v>30</v>
      </c>
      <c r="C11" s="32" t="s">
        <v>31</v>
      </c>
      <c r="D11" s="8" t="s">
        <v>32</v>
      </c>
      <c r="E11" s="32" t="s">
        <v>9</v>
      </c>
      <c r="F11" s="18"/>
      <c r="G11" s="2"/>
      <c r="H11" s="18"/>
      <c r="I11" s="51">
        <v>5000000</v>
      </c>
      <c r="J11" s="2"/>
      <c r="K11" s="18">
        <f>+I11</f>
        <v>5000000</v>
      </c>
      <c r="L11" s="160"/>
    </row>
    <row r="12" spans="1:114" s="9" customFormat="1" ht="8.65" customHeight="1" x14ac:dyDescent="0.15">
      <c r="A12" s="8" t="s">
        <v>5</v>
      </c>
      <c r="B12" s="8" t="s">
        <v>33</v>
      </c>
      <c r="C12" s="32" t="s">
        <v>7</v>
      </c>
      <c r="D12" s="8" t="s">
        <v>34</v>
      </c>
      <c r="E12" s="32" t="s">
        <v>9</v>
      </c>
      <c r="F12" s="18"/>
      <c r="G12" s="2"/>
      <c r="H12" s="18">
        <v>14000000</v>
      </c>
      <c r="I12" s="51">
        <f>14000000-H12</f>
        <v>0</v>
      </c>
      <c r="J12" s="2"/>
      <c r="K12" s="18"/>
      <c r="L12" s="160" t="s">
        <v>551</v>
      </c>
    </row>
    <row r="13" spans="1:114" s="9" customFormat="1" ht="8.65" customHeight="1" x14ac:dyDescent="0.15">
      <c r="A13" s="8" t="s">
        <v>5</v>
      </c>
      <c r="B13" s="8" t="s">
        <v>35</v>
      </c>
      <c r="C13" s="32" t="s">
        <v>36</v>
      </c>
      <c r="D13" s="8" t="s">
        <v>37</v>
      </c>
      <c r="E13" s="32" t="s">
        <v>9</v>
      </c>
      <c r="F13" s="18"/>
      <c r="G13" s="2"/>
      <c r="H13" s="18">
        <v>175000</v>
      </c>
      <c r="I13" s="51">
        <f>175000-H13</f>
        <v>0</v>
      </c>
      <c r="J13" s="2"/>
      <c r="K13" s="18"/>
      <c r="L13" s="160" t="s">
        <v>551</v>
      </c>
    </row>
    <row r="14" spans="1:114" s="9" customFormat="1" ht="8.65" customHeight="1" x14ac:dyDescent="0.15">
      <c r="A14" s="8" t="s">
        <v>5</v>
      </c>
      <c r="B14" s="8" t="s">
        <v>38</v>
      </c>
      <c r="C14" s="32" t="s">
        <v>36</v>
      </c>
      <c r="D14" s="8" t="s">
        <v>39</v>
      </c>
      <c r="E14" s="32" t="s">
        <v>9</v>
      </c>
      <c r="F14" s="18"/>
      <c r="G14" s="2"/>
      <c r="H14" s="18">
        <v>175000</v>
      </c>
      <c r="I14" s="51">
        <f>175000-H14</f>
        <v>0</v>
      </c>
      <c r="J14" s="2"/>
      <c r="K14" s="18"/>
      <c r="L14" s="160" t="s">
        <v>551</v>
      </c>
    </row>
    <row r="15" spans="1:114" s="9" customFormat="1" ht="8.65" customHeight="1" x14ac:dyDescent="0.15">
      <c r="A15" s="8" t="s">
        <v>5</v>
      </c>
      <c r="B15" s="8" t="s">
        <v>40</v>
      </c>
      <c r="C15" s="32" t="s">
        <v>41</v>
      </c>
      <c r="D15" s="8" t="s">
        <v>42</v>
      </c>
      <c r="E15" s="32" t="s">
        <v>9</v>
      </c>
      <c r="F15" s="18"/>
      <c r="G15" s="2"/>
      <c r="H15" s="18">
        <v>210000</v>
      </c>
      <c r="I15" s="51"/>
      <c r="J15" s="2"/>
      <c r="K15" s="18"/>
      <c r="L15" s="160" t="s">
        <v>405</v>
      </c>
    </row>
    <row r="16" spans="1:114" s="9" customFormat="1" ht="8.65" customHeight="1" x14ac:dyDescent="0.15">
      <c r="A16" s="8" t="s">
        <v>5</v>
      </c>
      <c r="B16" s="8" t="s">
        <v>43</v>
      </c>
      <c r="C16" s="32" t="s">
        <v>31</v>
      </c>
      <c r="D16" s="8" t="s">
        <v>44</v>
      </c>
      <c r="E16" s="32" t="s">
        <v>9</v>
      </c>
      <c r="F16" s="18"/>
      <c r="G16" s="2"/>
      <c r="H16" s="18"/>
      <c r="I16" s="51">
        <v>19000000</v>
      </c>
      <c r="J16" s="2"/>
      <c r="K16" s="18">
        <f>+I16</f>
        <v>19000000</v>
      </c>
      <c r="L16" s="160"/>
    </row>
    <row r="17" spans="1:115" s="3" customFormat="1" ht="10.15" customHeight="1" x14ac:dyDescent="0.15">
      <c r="A17" s="259" t="s">
        <v>45</v>
      </c>
      <c r="B17" s="259"/>
      <c r="C17" s="260"/>
      <c r="D17" s="259"/>
      <c r="E17" s="260"/>
      <c r="F17" s="259"/>
      <c r="G17" s="96"/>
      <c r="H17" s="97"/>
      <c r="I17" s="94">
        <f>SUM(I2:I16)</f>
        <v>98408447.400000006</v>
      </c>
      <c r="J17" s="94">
        <f>SUM(J2:J16)</f>
        <v>22426102.039999999</v>
      </c>
      <c r="K17" s="94">
        <f>SUM(K2:K16)</f>
        <v>75982345.359999999</v>
      </c>
      <c r="L17" s="161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</row>
    <row r="18" spans="1:115" s="9" customFormat="1" ht="10.15" customHeight="1" x14ac:dyDescent="0.15">
      <c r="A18" s="8" t="s">
        <v>46</v>
      </c>
      <c r="B18" s="8" t="s">
        <v>131</v>
      </c>
      <c r="C18" s="8" t="s">
        <v>92</v>
      </c>
      <c r="D18" s="8" t="s">
        <v>132</v>
      </c>
      <c r="E18" s="8" t="s">
        <v>483</v>
      </c>
      <c r="F18" s="8" t="s">
        <v>484</v>
      </c>
      <c r="G18" s="8"/>
      <c r="H18" s="57"/>
      <c r="I18" s="10">
        <v>1890000</v>
      </c>
      <c r="J18" s="53">
        <v>1883069.84</v>
      </c>
      <c r="K18" s="53">
        <f>+I18-J18</f>
        <v>6930.1599999999162</v>
      </c>
      <c r="L18" s="162" t="s">
        <v>551</v>
      </c>
    </row>
    <row r="19" spans="1:115" s="9" customFormat="1" ht="11.25" x14ac:dyDescent="0.15">
      <c r="A19" s="265" t="s">
        <v>482</v>
      </c>
      <c r="B19" s="266"/>
      <c r="C19" s="266"/>
      <c r="D19" s="266"/>
      <c r="E19" s="267"/>
      <c r="F19" s="93"/>
      <c r="G19" s="113"/>
      <c r="H19" s="114"/>
      <c r="I19" s="101">
        <f>+I18</f>
        <v>1890000</v>
      </c>
      <c r="J19" s="101">
        <f>+J18</f>
        <v>1883069.84</v>
      </c>
      <c r="K19" s="101">
        <f>SUM(K18)</f>
        <v>6930.1599999999162</v>
      </c>
      <c r="L19" s="163"/>
    </row>
    <row r="20" spans="1:115" s="9" customFormat="1" ht="10.15" customHeight="1" x14ac:dyDescent="0.15">
      <c r="A20" s="8" t="s">
        <v>46</v>
      </c>
      <c r="B20" s="8" t="s">
        <v>486</v>
      </c>
      <c r="C20" s="8" t="s">
        <v>17</v>
      </c>
      <c r="D20" s="8" t="s">
        <v>400</v>
      </c>
      <c r="E20" s="8" t="s">
        <v>487</v>
      </c>
      <c r="F20" s="8" t="s">
        <v>488</v>
      </c>
      <c r="G20" s="8"/>
      <c r="H20" s="57"/>
      <c r="I20" s="10">
        <v>5000</v>
      </c>
      <c r="J20" s="53"/>
      <c r="K20" s="10">
        <f>+I20</f>
        <v>5000</v>
      </c>
      <c r="L20" s="162" t="s">
        <v>551</v>
      </c>
    </row>
    <row r="21" spans="1:115" s="79" customFormat="1" ht="10.15" customHeight="1" x14ac:dyDescent="0.15">
      <c r="A21" s="257" t="s">
        <v>485</v>
      </c>
      <c r="B21" s="257"/>
      <c r="C21" s="258"/>
      <c r="D21" s="257"/>
      <c r="E21" s="258"/>
      <c r="F21" s="93"/>
      <c r="G21" s="113"/>
      <c r="H21" s="114"/>
      <c r="I21" s="101">
        <f>SUM(I20)</f>
        <v>5000</v>
      </c>
      <c r="J21" s="101">
        <f>+J20</f>
        <v>0</v>
      </c>
      <c r="K21" s="101">
        <f>+K20</f>
        <v>5000</v>
      </c>
      <c r="L21" s="163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</row>
    <row r="22" spans="1:115" s="9" customFormat="1" ht="10.15" customHeight="1" x14ac:dyDescent="0.15">
      <c r="A22" s="8" t="s">
        <v>5</v>
      </c>
      <c r="B22" s="8" t="s">
        <v>521</v>
      </c>
      <c r="C22" s="8">
        <v>10503</v>
      </c>
      <c r="D22" s="8" t="s">
        <v>519</v>
      </c>
      <c r="E22" s="8" t="s">
        <v>445</v>
      </c>
      <c r="F22" s="8" t="s">
        <v>446</v>
      </c>
      <c r="G22" s="8"/>
      <c r="H22" s="8"/>
      <c r="I22" s="51">
        <v>2193600</v>
      </c>
      <c r="J22" s="51">
        <v>221319</v>
      </c>
      <c r="K22" s="51">
        <f>+I22-J22</f>
        <v>1972281</v>
      </c>
      <c r="L22" s="160">
        <v>6335</v>
      </c>
    </row>
    <row r="23" spans="1:115" s="42" customFormat="1" ht="10.15" customHeight="1" x14ac:dyDescent="0.15">
      <c r="A23" s="8" t="s">
        <v>5</v>
      </c>
      <c r="B23" s="8" t="s">
        <v>433</v>
      </c>
      <c r="C23" s="8" t="s">
        <v>92</v>
      </c>
      <c r="D23" s="8" t="s">
        <v>132</v>
      </c>
      <c r="E23" s="8" t="s">
        <v>445</v>
      </c>
      <c r="F23" s="8"/>
      <c r="G23" s="8"/>
      <c r="H23" s="8"/>
      <c r="I23" s="51">
        <v>33300000</v>
      </c>
      <c r="J23" s="51">
        <f>6697434.85-1314770.41</f>
        <v>5382664.4399999995</v>
      </c>
      <c r="K23" s="51">
        <f>+I23-J23</f>
        <v>27917335.560000002</v>
      </c>
      <c r="L23" s="160" t="s">
        <v>508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41"/>
    </row>
    <row r="24" spans="1:115" s="4" customFormat="1" ht="10.15" customHeight="1" x14ac:dyDescent="0.15">
      <c r="A24" s="259" t="s">
        <v>444</v>
      </c>
      <c r="B24" s="259"/>
      <c r="C24" s="260"/>
      <c r="D24" s="259"/>
      <c r="E24" s="260"/>
      <c r="F24" s="100"/>
      <c r="G24" s="96"/>
      <c r="H24" s="97"/>
      <c r="I24" s="101">
        <f>+I23+I22</f>
        <v>35493600</v>
      </c>
      <c r="J24" s="101">
        <f>+J23</f>
        <v>5382664.4399999995</v>
      </c>
      <c r="K24" s="101">
        <f>SUM(K22:K23)</f>
        <v>29889616.560000002</v>
      </c>
      <c r="L24" s="16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43"/>
    </row>
    <row r="25" spans="1:115" s="42" customFormat="1" ht="12.6" customHeight="1" x14ac:dyDescent="0.15">
      <c r="A25" s="8" t="s">
        <v>46</v>
      </c>
      <c r="B25" s="8" t="s">
        <v>131</v>
      </c>
      <c r="C25" s="8" t="s">
        <v>92</v>
      </c>
      <c r="D25" s="8" t="s">
        <v>132</v>
      </c>
      <c r="E25" s="8" t="s">
        <v>447</v>
      </c>
      <c r="F25" s="8" t="s">
        <v>449</v>
      </c>
      <c r="G25" s="8"/>
      <c r="H25" s="35"/>
      <c r="I25" s="10">
        <v>2500000</v>
      </c>
      <c r="J25" s="37"/>
      <c r="K25" s="51">
        <f>+I25-J25</f>
        <v>2500000</v>
      </c>
      <c r="L25" s="162" t="s">
        <v>551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41"/>
    </row>
    <row r="26" spans="1:115" s="4" customFormat="1" ht="11.25" x14ac:dyDescent="0.15">
      <c r="A26" s="259" t="s">
        <v>448</v>
      </c>
      <c r="B26" s="259"/>
      <c r="C26" s="260"/>
      <c r="D26" s="259"/>
      <c r="E26" s="260"/>
      <c r="F26" s="100"/>
      <c r="G26" s="96"/>
      <c r="H26" s="97"/>
      <c r="I26" s="101">
        <f>SUM(I25)</f>
        <v>2500000</v>
      </c>
      <c r="J26" s="101">
        <f>+J25</f>
        <v>0</v>
      </c>
      <c r="K26" s="101">
        <f>+I26-J26</f>
        <v>2500000</v>
      </c>
      <c r="L26" s="16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43"/>
    </row>
    <row r="27" spans="1:115" s="9" customFormat="1" ht="11.25" x14ac:dyDescent="0.15">
      <c r="A27" s="8" t="s">
        <v>46</v>
      </c>
      <c r="B27" s="8" t="s">
        <v>131</v>
      </c>
      <c r="C27" s="8" t="s">
        <v>92</v>
      </c>
      <c r="D27" s="8" t="s">
        <v>132</v>
      </c>
      <c r="E27" s="8" t="s">
        <v>452</v>
      </c>
      <c r="F27" s="8" t="s">
        <v>451</v>
      </c>
      <c r="G27" s="8"/>
      <c r="H27" s="38"/>
      <c r="I27" s="51">
        <v>2500000</v>
      </c>
      <c r="J27" s="37"/>
      <c r="K27" s="51">
        <f>+I27-J27</f>
        <v>2500000</v>
      </c>
      <c r="L27" s="162" t="s">
        <v>551</v>
      </c>
    </row>
    <row r="28" spans="1:115" s="3" customFormat="1" ht="11.25" x14ac:dyDescent="0.15">
      <c r="A28" s="259" t="s">
        <v>450</v>
      </c>
      <c r="B28" s="259"/>
      <c r="C28" s="260"/>
      <c r="D28" s="259"/>
      <c r="E28" s="260"/>
      <c r="F28" s="100"/>
      <c r="G28" s="102"/>
      <c r="H28" s="103"/>
      <c r="I28" s="101">
        <f>SUM(I27)</f>
        <v>2500000</v>
      </c>
      <c r="J28" s="101">
        <f>+J27</f>
        <v>0</v>
      </c>
      <c r="K28" s="101">
        <f>+K27</f>
        <v>2500000</v>
      </c>
      <c r="L28" s="161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</row>
    <row r="29" spans="1:115" s="9" customFormat="1" ht="11.25" x14ac:dyDescent="0.15">
      <c r="A29" s="8" t="s">
        <v>46</v>
      </c>
      <c r="B29" s="8" t="s">
        <v>131</v>
      </c>
      <c r="C29" s="8" t="s">
        <v>92</v>
      </c>
      <c r="D29" s="8" t="s">
        <v>132</v>
      </c>
      <c r="E29" s="8" t="s">
        <v>454</v>
      </c>
      <c r="F29" s="8" t="s">
        <v>455</v>
      </c>
      <c r="G29" s="8"/>
      <c r="H29" s="38"/>
      <c r="I29" s="51">
        <v>2500000</v>
      </c>
      <c r="J29" s="37"/>
      <c r="K29" s="51">
        <f>+I29-J29</f>
        <v>2500000</v>
      </c>
      <c r="L29" s="162" t="s">
        <v>551</v>
      </c>
    </row>
    <row r="30" spans="1:115" s="3" customFormat="1" ht="11.25" x14ac:dyDescent="0.15">
      <c r="A30" s="259" t="s">
        <v>453</v>
      </c>
      <c r="B30" s="259"/>
      <c r="C30" s="260"/>
      <c r="D30" s="259"/>
      <c r="E30" s="260"/>
      <c r="F30" s="100"/>
      <c r="G30" s="102"/>
      <c r="H30" s="103"/>
      <c r="I30" s="94">
        <f>SUM(I29)</f>
        <v>2500000</v>
      </c>
      <c r="J30" s="94">
        <f>+J29</f>
        <v>0</v>
      </c>
      <c r="K30" s="105">
        <f>+K29</f>
        <v>2500000</v>
      </c>
      <c r="L30" s="161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</row>
    <row r="31" spans="1:115" s="9" customFormat="1" ht="11.25" x14ac:dyDescent="0.15">
      <c r="A31" s="8" t="s">
        <v>46</v>
      </c>
      <c r="B31" s="8" t="s">
        <v>131</v>
      </c>
      <c r="C31" s="8" t="s">
        <v>92</v>
      </c>
      <c r="D31" s="8" t="s">
        <v>132</v>
      </c>
      <c r="E31" s="8" t="s">
        <v>457</v>
      </c>
      <c r="F31" s="8" t="s">
        <v>458</v>
      </c>
      <c r="G31" s="8"/>
      <c r="H31" s="58"/>
      <c r="I31" s="51">
        <v>58375200</v>
      </c>
      <c r="J31" s="51">
        <v>854398.08</v>
      </c>
      <c r="K31" s="51">
        <f>+I31-J31</f>
        <v>57520801.920000002</v>
      </c>
      <c r="L31" s="162" t="s">
        <v>551</v>
      </c>
    </row>
    <row r="32" spans="1:115" s="3" customFormat="1" ht="11.25" x14ac:dyDescent="0.15">
      <c r="A32" s="257" t="s">
        <v>456</v>
      </c>
      <c r="B32" s="257"/>
      <c r="C32" s="258"/>
      <c r="D32" s="257"/>
      <c r="E32" s="258"/>
      <c r="F32" s="93"/>
      <c r="G32" s="106"/>
      <c r="H32" s="107"/>
      <c r="I32" s="94">
        <f>SUM(I31)</f>
        <v>58375200</v>
      </c>
      <c r="J32" s="94">
        <f>+J31</f>
        <v>854398.08</v>
      </c>
      <c r="K32" s="94">
        <f>SUM(K31)</f>
        <v>57520801.920000002</v>
      </c>
      <c r="L32" s="163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</row>
    <row r="33" spans="1:16383" s="9" customFormat="1" ht="11.25" x14ac:dyDescent="0.15">
      <c r="A33" s="8" t="s">
        <v>5</v>
      </c>
      <c r="B33" s="8" t="s">
        <v>131</v>
      </c>
      <c r="C33" s="8" t="s">
        <v>92</v>
      </c>
      <c r="D33" s="8" t="s">
        <v>132</v>
      </c>
      <c r="E33" s="8" t="s">
        <v>460</v>
      </c>
      <c r="F33" s="8" t="s">
        <v>461</v>
      </c>
      <c r="G33" s="8"/>
      <c r="H33" s="38"/>
      <c r="I33" s="10">
        <v>1560000</v>
      </c>
      <c r="J33" s="37"/>
      <c r="K33" s="51">
        <f>+I33-J33</f>
        <v>1560000</v>
      </c>
      <c r="L33" s="162" t="s">
        <v>551</v>
      </c>
    </row>
    <row r="34" spans="1:16383" s="3" customFormat="1" ht="11.25" x14ac:dyDescent="0.15">
      <c r="A34" s="259" t="s">
        <v>459</v>
      </c>
      <c r="B34" s="259"/>
      <c r="C34" s="260"/>
      <c r="D34" s="259"/>
      <c r="E34" s="260"/>
      <c r="F34" s="100"/>
      <c r="G34" s="102"/>
      <c r="H34" s="103"/>
      <c r="I34" s="94">
        <f>SUM(I33)</f>
        <v>1560000</v>
      </c>
      <c r="J34" s="94">
        <f>+J33</f>
        <v>0</v>
      </c>
      <c r="K34" s="94">
        <f>+K33</f>
        <v>1560000</v>
      </c>
      <c r="L34" s="161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</row>
    <row r="35" spans="1:16383" s="56" customFormat="1" ht="11.25" x14ac:dyDescent="0.15">
      <c r="A35" s="84" t="s">
        <v>5</v>
      </c>
      <c r="B35" s="84" t="s">
        <v>56</v>
      </c>
      <c r="C35" s="84" t="s">
        <v>57</v>
      </c>
      <c r="D35" s="84" t="s">
        <v>351</v>
      </c>
      <c r="E35" s="84" t="s">
        <v>352</v>
      </c>
      <c r="F35" s="84" t="s">
        <v>353</v>
      </c>
      <c r="G35" s="84"/>
      <c r="H35" s="54"/>
      <c r="I35" s="10">
        <v>8000000</v>
      </c>
      <c r="J35" s="55"/>
      <c r="K35" s="10">
        <f>+I35-J35</f>
        <v>8000000</v>
      </c>
      <c r="L35" s="162" t="s">
        <v>551</v>
      </c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</row>
    <row r="36" spans="1:16383" s="9" customFormat="1" ht="11.25" x14ac:dyDescent="0.15">
      <c r="A36" s="84" t="s">
        <v>5</v>
      </c>
      <c r="B36" s="84" t="s">
        <v>131</v>
      </c>
      <c r="C36" s="84" t="s">
        <v>92</v>
      </c>
      <c r="D36" s="84" t="s">
        <v>132</v>
      </c>
      <c r="E36" s="84" t="s">
        <v>352</v>
      </c>
      <c r="F36" s="84"/>
      <c r="G36" s="84"/>
      <c r="H36" s="38"/>
      <c r="I36" s="10">
        <v>1560722</v>
      </c>
      <c r="J36" s="37"/>
      <c r="K36" s="10">
        <f>+I36-J36</f>
        <v>1560722</v>
      </c>
      <c r="L36" s="162" t="s">
        <v>551</v>
      </c>
    </row>
    <row r="37" spans="1:16383" s="3" customFormat="1" ht="11.25" x14ac:dyDescent="0.15">
      <c r="A37" s="259" t="s">
        <v>354</v>
      </c>
      <c r="B37" s="259"/>
      <c r="C37" s="260"/>
      <c r="D37" s="259"/>
      <c r="E37" s="260"/>
      <c r="F37" s="100"/>
      <c r="G37" s="102"/>
      <c r="H37" s="103"/>
      <c r="I37" s="94">
        <f>SUM(I35:I36)</f>
        <v>9560722</v>
      </c>
      <c r="J37" s="94">
        <f>+J36</f>
        <v>0</v>
      </c>
      <c r="K37" s="94">
        <f>+K36+K35</f>
        <v>9560722</v>
      </c>
      <c r="L37" s="161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</row>
    <row r="38" spans="1:16383" s="3" customFormat="1" ht="18.600000000000001" customHeight="1" x14ac:dyDescent="0.15">
      <c r="A38" s="8" t="s">
        <v>46</v>
      </c>
      <c r="B38" s="8" t="s">
        <v>47</v>
      </c>
      <c r="C38" s="8" t="s">
        <v>48</v>
      </c>
      <c r="D38" s="8" t="s">
        <v>49</v>
      </c>
      <c r="E38" s="8" t="s">
        <v>50</v>
      </c>
      <c r="F38" s="8" t="s">
        <v>397</v>
      </c>
      <c r="G38" s="25">
        <f>19000000+1693275</f>
        <v>20693275</v>
      </c>
      <c r="H38" s="26"/>
      <c r="I38" s="26">
        <v>35473787</v>
      </c>
      <c r="J38" s="26">
        <v>34978311.409999996</v>
      </c>
      <c r="K38" s="26">
        <f>+I38-J38</f>
        <v>495475.59000000358</v>
      </c>
      <c r="L38" s="63" t="s">
        <v>631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</row>
    <row r="39" spans="1:16383" s="3" customFormat="1" ht="8.25" x14ac:dyDescent="0.15">
      <c r="A39" s="8" t="s">
        <v>46</v>
      </c>
      <c r="B39" s="8" t="s">
        <v>433</v>
      </c>
      <c r="C39" s="8" t="s">
        <v>92</v>
      </c>
      <c r="D39" s="8" t="s">
        <v>132</v>
      </c>
      <c r="E39" s="8" t="s">
        <v>434</v>
      </c>
      <c r="F39" s="8"/>
      <c r="G39" s="25"/>
      <c r="H39" s="25"/>
      <c r="I39" s="25">
        <f>15443062.77+11600000</f>
        <v>27043062.77</v>
      </c>
      <c r="J39" s="25">
        <f>22798052.48+443062.77</f>
        <v>23241115.25</v>
      </c>
      <c r="K39" s="25">
        <f>+I39-J39</f>
        <v>3801947.5199999996</v>
      </c>
      <c r="L39" s="63" t="s">
        <v>551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</row>
    <row r="40" spans="1:16383" s="3" customFormat="1" ht="18.600000000000001" customHeight="1" x14ac:dyDescent="0.15">
      <c r="A40" s="8" t="s">
        <v>46</v>
      </c>
      <c r="B40" s="8" t="s">
        <v>169</v>
      </c>
      <c r="C40" s="8" t="s">
        <v>7</v>
      </c>
      <c r="D40" s="8" t="s">
        <v>170</v>
      </c>
      <c r="E40" s="8" t="s">
        <v>50</v>
      </c>
      <c r="F40" s="8"/>
      <c r="G40" s="25"/>
      <c r="H40" s="25"/>
      <c r="I40" s="25">
        <v>438158.01</v>
      </c>
      <c r="J40" s="25">
        <v>438158.01</v>
      </c>
      <c r="K40" s="25">
        <f>+I40-J40</f>
        <v>0</v>
      </c>
      <c r="L40" s="63" t="s">
        <v>501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</row>
    <row r="41" spans="1:16383" s="9" customFormat="1" ht="8.65" customHeight="1" x14ac:dyDescent="0.15">
      <c r="A41" s="8" t="s">
        <v>46</v>
      </c>
      <c r="B41" s="8" t="s">
        <v>51</v>
      </c>
      <c r="C41" s="8" t="s">
        <v>25</v>
      </c>
      <c r="D41" s="8" t="s">
        <v>52</v>
      </c>
      <c r="E41" s="8" t="s">
        <v>50</v>
      </c>
      <c r="F41" s="8"/>
      <c r="G41" s="26">
        <v>492000</v>
      </c>
      <c r="H41" s="26"/>
      <c r="I41" s="26">
        <v>5112000</v>
      </c>
      <c r="J41" s="26">
        <v>1497600</v>
      </c>
      <c r="K41" s="26">
        <f>+I41-J41</f>
        <v>3614400</v>
      </c>
      <c r="L41" s="64" t="s">
        <v>396</v>
      </c>
    </row>
    <row r="42" spans="1:16383" s="9" customFormat="1" ht="8.65" customHeight="1" x14ac:dyDescent="0.15">
      <c r="A42" s="8" t="s">
        <v>46</v>
      </c>
      <c r="B42" s="8" t="s">
        <v>53</v>
      </c>
      <c r="C42" s="8" t="s">
        <v>48</v>
      </c>
      <c r="D42" s="8" t="s">
        <v>54</v>
      </c>
      <c r="E42" s="8" t="s">
        <v>50</v>
      </c>
      <c r="F42" s="8"/>
      <c r="G42" s="26">
        <f>3500000+4008725</f>
        <v>7508725</v>
      </c>
      <c r="H42" s="26"/>
      <c r="I42" s="26">
        <f>96000000+G42</f>
        <v>103508725</v>
      </c>
      <c r="J42" s="26">
        <f>12421047+86947329</f>
        <v>99368376</v>
      </c>
      <c r="K42" s="26">
        <f>+I42-J42</f>
        <v>4140349</v>
      </c>
      <c r="L42" s="64" t="s">
        <v>394</v>
      </c>
    </row>
    <row r="43" spans="1:16383" s="79" customFormat="1" ht="10.15" customHeight="1" x14ac:dyDescent="0.15">
      <c r="A43" s="257" t="s">
        <v>55</v>
      </c>
      <c r="B43" s="257"/>
      <c r="C43" s="257"/>
      <c r="D43" s="257"/>
      <c r="E43" s="257"/>
      <c r="F43" s="257"/>
      <c r="G43" s="115"/>
      <c r="H43" s="116"/>
      <c r="I43" s="94">
        <f>+I42+I41+I40+I39+I38</f>
        <v>171575732.78</v>
      </c>
      <c r="J43" s="94">
        <f>SUM(J38:J42)</f>
        <v>159523560.66999999</v>
      </c>
      <c r="K43" s="94">
        <f>+K42+K41+K40+K39+K38</f>
        <v>12052172.110000003</v>
      </c>
      <c r="L43" s="117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</row>
    <row r="44" spans="1:16383" s="42" customFormat="1" ht="10.15" customHeight="1" x14ac:dyDescent="0.15">
      <c r="A44" s="8" t="s">
        <v>5</v>
      </c>
      <c r="B44" s="8" t="s">
        <v>131</v>
      </c>
      <c r="C44" s="8" t="s">
        <v>92</v>
      </c>
      <c r="D44" s="8" t="s">
        <v>132</v>
      </c>
      <c r="E44" s="8" t="s">
        <v>474</v>
      </c>
      <c r="F44" s="8" t="s">
        <v>475</v>
      </c>
      <c r="G44" s="24"/>
      <c r="H44" s="46"/>
      <c r="I44" s="26">
        <v>10495400</v>
      </c>
      <c r="J44" s="27">
        <v>951999.99</v>
      </c>
      <c r="K44" s="26">
        <f>+I44-J44</f>
        <v>9543400.0099999998</v>
      </c>
      <c r="L44" s="65" t="s">
        <v>551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41"/>
    </row>
    <row r="45" spans="1:16383" s="119" customFormat="1" ht="10.15" customHeight="1" x14ac:dyDescent="0.15">
      <c r="A45" s="259" t="s">
        <v>473</v>
      </c>
      <c r="B45" s="259"/>
      <c r="C45" s="259"/>
      <c r="D45" s="259"/>
      <c r="E45" s="259"/>
      <c r="F45" s="259"/>
      <c r="G45" s="109"/>
      <c r="H45" s="110"/>
      <c r="I45" s="94">
        <f>+I44</f>
        <v>10495400</v>
      </c>
      <c r="J45" s="94">
        <f>+J44</f>
        <v>951999.99</v>
      </c>
      <c r="K45" s="94">
        <f>SUM(K44)</f>
        <v>9543400.0099999998</v>
      </c>
      <c r="L45" s="11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118"/>
    </row>
    <row r="46" spans="1:16383" s="3" customFormat="1" ht="8.65" customHeight="1" x14ac:dyDescent="0.15">
      <c r="A46" s="80" t="s">
        <v>5</v>
      </c>
      <c r="B46" s="80" t="s">
        <v>56</v>
      </c>
      <c r="C46" s="80" t="s">
        <v>57</v>
      </c>
      <c r="D46" s="80" t="s">
        <v>58</v>
      </c>
      <c r="E46" s="80" t="s">
        <v>59</v>
      </c>
      <c r="F46" s="81" t="s">
        <v>60</v>
      </c>
      <c r="G46" s="82"/>
      <c r="H46" s="82"/>
      <c r="I46" s="88">
        <v>8000000</v>
      </c>
      <c r="J46" s="83"/>
      <c r="K46" s="82">
        <f>+I46-J46</f>
        <v>8000000</v>
      </c>
      <c r="L46" s="164" t="s">
        <v>551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</row>
    <row r="47" spans="1:16383" s="3" customFormat="1" ht="8.65" customHeight="1" x14ac:dyDescent="0.15">
      <c r="A47" s="84" t="s">
        <v>5</v>
      </c>
      <c r="B47" s="84" t="s">
        <v>433</v>
      </c>
      <c r="C47" s="84" t="s">
        <v>92</v>
      </c>
      <c r="D47" s="84" t="s">
        <v>132</v>
      </c>
      <c r="E47" s="84" t="s">
        <v>59</v>
      </c>
      <c r="F47" s="84"/>
      <c r="G47" s="85"/>
      <c r="H47" s="84"/>
      <c r="I47" s="88">
        <v>31200000</v>
      </c>
      <c r="J47" s="83">
        <v>1933130.43</v>
      </c>
      <c r="K47" s="82">
        <f t="shared" ref="K47:K50" si="0">+I47-J47</f>
        <v>29266869.57</v>
      </c>
      <c r="L47" s="164" t="s">
        <v>551</v>
      </c>
      <c r="M47" s="47"/>
      <c r="N47" s="48"/>
      <c r="O47" s="47"/>
      <c r="P47" s="49"/>
      <c r="Q47" s="47"/>
      <c r="R47" s="48"/>
      <c r="S47" s="47"/>
      <c r="T47" s="49"/>
      <c r="U47" s="47"/>
      <c r="V47" s="48"/>
      <c r="W47" s="47"/>
      <c r="X47" s="49"/>
      <c r="Y47" s="47"/>
      <c r="Z47" s="48"/>
      <c r="AA47" s="47"/>
      <c r="AB47" s="49"/>
      <c r="AC47" s="47"/>
      <c r="AD47" s="48"/>
      <c r="AE47" s="47"/>
      <c r="AF47" s="49"/>
      <c r="AG47" s="47"/>
      <c r="AH47" s="48"/>
      <c r="AI47" s="47"/>
      <c r="AJ47" s="49"/>
      <c r="AK47" s="47"/>
      <c r="AL47" s="48"/>
      <c r="AM47" s="47"/>
      <c r="AN47" s="49"/>
      <c r="AO47" s="47"/>
      <c r="AP47" s="48"/>
      <c r="AQ47" s="47"/>
      <c r="AR47" s="49"/>
      <c r="AS47" s="47"/>
      <c r="AT47" s="48"/>
      <c r="AU47" s="47"/>
      <c r="AV47" s="49"/>
      <c r="AW47" s="47"/>
      <c r="AX47" s="48"/>
      <c r="AY47" s="47"/>
      <c r="AZ47" s="49"/>
      <c r="BA47" s="47"/>
      <c r="BB47" s="48"/>
      <c r="BC47" s="47"/>
      <c r="BD47" s="49"/>
      <c r="BE47" s="47"/>
      <c r="BF47" s="48"/>
      <c r="BG47" s="47"/>
      <c r="BH47" s="49"/>
      <c r="BI47" s="47"/>
      <c r="BJ47" s="48"/>
      <c r="BK47" s="47"/>
      <c r="BL47" s="49"/>
      <c r="BM47" s="47" t="s">
        <v>433</v>
      </c>
      <c r="BN47" s="48" t="s">
        <v>92</v>
      </c>
      <c r="BO47" s="47" t="s">
        <v>132</v>
      </c>
      <c r="BP47" s="49" t="s">
        <v>46</v>
      </c>
      <c r="BQ47" s="47" t="s">
        <v>433</v>
      </c>
      <c r="BR47" s="48" t="s">
        <v>92</v>
      </c>
      <c r="BS47" s="47" t="s">
        <v>132</v>
      </c>
      <c r="BT47" s="49" t="s">
        <v>46</v>
      </c>
      <c r="BU47" s="47" t="s">
        <v>433</v>
      </c>
      <c r="BV47" s="48" t="s">
        <v>92</v>
      </c>
      <c r="BW47" s="47" t="s">
        <v>132</v>
      </c>
      <c r="BX47" s="49" t="s">
        <v>46</v>
      </c>
      <c r="BY47" s="47" t="s">
        <v>433</v>
      </c>
      <c r="BZ47" s="48" t="s">
        <v>92</v>
      </c>
      <c r="CA47" s="47" t="s">
        <v>132</v>
      </c>
      <c r="CB47" s="49" t="s">
        <v>46</v>
      </c>
      <c r="CC47" s="47" t="s">
        <v>433</v>
      </c>
      <c r="CD47" s="48" t="s">
        <v>92</v>
      </c>
      <c r="CE47" s="47" t="s">
        <v>132</v>
      </c>
      <c r="CF47" s="49" t="s">
        <v>46</v>
      </c>
      <c r="CG47" s="47" t="s">
        <v>433</v>
      </c>
      <c r="CH47" s="48" t="s">
        <v>92</v>
      </c>
      <c r="CI47" s="47" t="s">
        <v>132</v>
      </c>
      <c r="CJ47" s="49" t="s">
        <v>46</v>
      </c>
      <c r="CK47" s="47" t="s">
        <v>433</v>
      </c>
      <c r="CL47" s="48" t="s">
        <v>92</v>
      </c>
      <c r="CM47" s="47" t="s">
        <v>132</v>
      </c>
      <c r="CN47" s="49" t="s">
        <v>46</v>
      </c>
      <c r="CO47" s="47" t="s">
        <v>433</v>
      </c>
      <c r="CP47" s="48" t="s">
        <v>92</v>
      </c>
      <c r="CQ47" s="47" t="s">
        <v>132</v>
      </c>
      <c r="CR47" s="49" t="s">
        <v>46</v>
      </c>
      <c r="CS47" s="47" t="s">
        <v>433</v>
      </c>
      <c r="CT47" s="48" t="s">
        <v>92</v>
      </c>
      <c r="CU47" s="47" t="s">
        <v>132</v>
      </c>
      <c r="CV47" s="49" t="s">
        <v>46</v>
      </c>
      <c r="CW47" s="47" t="s">
        <v>433</v>
      </c>
      <c r="CX47" s="48" t="s">
        <v>92</v>
      </c>
      <c r="CY47" s="47" t="s">
        <v>132</v>
      </c>
      <c r="CZ47" s="49" t="s">
        <v>46</v>
      </c>
      <c r="DA47" s="47" t="s">
        <v>433</v>
      </c>
      <c r="DB47" s="48" t="s">
        <v>92</v>
      </c>
      <c r="DC47" s="47" t="s">
        <v>132</v>
      </c>
      <c r="DD47" s="49" t="s">
        <v>46</v>
      </c>
      <c r="DE47" s="47" t="s">
        <v>433</v>
      </c>
      <c r="DF47" s="48" t="s">
        <v>92</v>
      </c>
      <c r="DG47" s="47" t="s">
        <v>132</v>
      </c>
      <c r="DH47" s="49" t="s">
        <v>46</v>
      </c>
      <c r="DI47" s="47" t="s">
        <v>433</v>
      </c>
      <c r="DJ47" s="48" t="s">
        <v>92</v>
      </c>
      <c r="DK47" s="50" t="s">
        <v>132</v>
      </c>
      <c r="DL47" s="22" t="s">
        <v>46</v>
      </c>
      <c r="DM47" s="8" t="s">
        <v>433</v>
      </c>
      <c r="DN47" s="32" t="s">
        <v>92</v>
      </c>
      <c r="DO47" s="8" t="s">
        <v>132</v>
      </c>
      <c r="DP47" s="22" t="s">
        <v>46</v>
      </c>
      <c r="DQ47" s="8" t="s">
        <v>433</v>
      </c>
      <c r="DR47" s="32" t="s">
        <v>92</v>
      </c>
      <c r="DS47" s="8" t="s">
        <v>132</v>
      </c>
      <c r="DT47" s="22" t="s">
        <v>46</v>
      </c>
      <c r="DU47" s="8" t="s">
        <v>433</v>
      </c>
      <c r="DV47" s="32" t="s">
        <v>92</v>
      </c>
      <c r="DW47" s="8" t="s">
        <v>132</v>
      </c>
      <c r="DX47" s="22" t="s">
        <v>46</v>
      </c>
      <c r="DY47" s="8" t="s">
        <v>433</v>
      </c>
      <c r="DZ47" s="32" t="s">
        <v>92</v>
      </c>
      <c r="EA47" s="8" t="s">
        <v>132</v>
      </c>
      <c r="EB47" s="22" t="s">
        <v>46</v>
      </c>
      <c r="EC47" s="8" t="s">
        <v>433</v>
      </c>
      <c r="ED47" s="32" t="s">
        <v>92</v>
      </c>
      <c r="EE47" s="8" t="s">
        <v>132</v>
      </c>
      <c r="EF47" s="22" t="s">
        <v>46</v>
      </c>
      <c r="EG47" s="8" t="s">
        <v>433</v>
      </c>
      <c r="EH47" s="32" t="s">
        <v>92</v>
      </c>
      <c r="EI47" s="8" t="s">
        <v>132</v>
      </c>
      <c r="EJ47" s="22" t="s">
        <v>46</v>
      </c>
      <c r="EK47" s="8" t="s">
        <v>433</v>
      </c>
      <c r="EL47" s="32" t="s">
        <v>92</v>
      </c>
      <c r="EM47" s="8" t="s">
        <v>132</v>
      </c>
      <c r="EN47" s="22" t="s">
        <v>46</v>
      </c>
      <c r="EO47" s="8" t="s">
        <v>433</v>
      </c>
      <c r="EP47" s="32" t="s">
        <v>92</v>
      </c>
      <c r="EQ47" s="8" t="s">
        <v>132</v>
      </c>
      <c r="ER47" s="22" t="s">
        <v>46</v>
      </c>
      <c r="ES47" s="8" t="s">
        <v>433</v>
      </c>
      <c r="ET47" s="32" t="s">
        <v>92</v>
      </c>
      <c r="EU47" s="8" t="s">
        <v>132</v>
      </c>
      <c r="EV47" s="22" t="s">
        <v>46</v>
      </c>
      <c r="EW47" s="8" t="s">
        <v>433</v>
      </c>
      <c r="EX47" s="32" t="s">
        <v>92</v>
      </c>
      <c r="EY47" s="8" t="s">
        <v>132</v>
      </c>
      <c r="EZ47" s="22" t="s">
        <v>46</v>
      </c>
      <c r="FA47" s="8" t="s">
        <v>433</v>
      </c>
      <c r="FB47" s="32" t="s">
        <v>92</v>
      </c>
      <c r="FC47" s="8" t="s">
        <v>132</v>
      </c>
      <c r="FD47" s="22" t="s">
        <v>46</v>
      </c>
      <c r="FE47" s="8" t="s">
        <v>433</v>
      </c>
      <c r="FF47" s="32" t="s">
        <v>92</v>
      </c>
      <c r="FG47" s="8" t="s">
        <v>132</v>
      </c>
      <c r="FH47" s="22" t="s">
        <v>46</v>
      </c>
      <c r="FI47" s="8" t="s">
        <v>433</v>
      </c>
      <c r="FJ47" s="32" t="s">
        <v>92</v>
      </c>
      <c r="FK47" s="8" t="s">
        <v>132</v>
      </c>
      <c r="FL47" s="22" t="s">
        <v>46</v>
      </c>
      <c r="FM47" s="8" t="s">
        <v>433</v>
      </c>
      <c r="FN47" s="32" t="s">
        <v>92</v>
      </c>
      <c r="FO47" s="8" t="s">
        <v>132</v>
      </c>
      <c r="FP47" s="22" t="s">
        <v>46</v>
      </c>
      <c r="FQ47" s="8" t="s">
        <v>433</v>
      </c>
      <c r="FR47" s="32" t="s">
        <v>92</v>
      </c>
      <c r="FS47" s="8" t="s">
        <v>132</v>
      </c>
      <c r="FT47" s="22" t="s">
        <v>46</v>
      </c>
      <c r="FU47" s="8" t="s">
        <v>433</v>
      </c>
      <c r="FV47" s="32" t="s">
        <v>92</v>
      </c>
      <c r="FW47" s="8" t="s">
        <v>132</v>
      </c>
      <c r="FX47" s="22" t="s">
        <v>46</v>
      </c>
      <c r="FY47" s="8" t="s">
        <v>433</v>
      </c>
      <c r="FZ47" s="32" t="s">
        <v>92</v>
      </c>
      <c r="GA47" s="8" t="s">
        <v>132</v>
      </c>
      <c r="GB47" s="22" t="s">
        <v>46</v>
      </c>
      <c r="GC47" s="8" t="s">
        <v>433</v>
      </c>
      <c r="GD47" s="32" t="s">
        <v>92</v>
      </c>
      <c r="GE47" s="8" t="s">
        <v>132</v>
      </c>
      <c r="GF47" s="22" t="s">
        <v>46</v>
      </c>
      <c r="GG47" s="8" t="s">
        <v>433</v>
      </c>
      <c r="GH47" s="32" t="s">
        <v>92</v>
      </c>
      <c r="GI47" s="8" t="s">
        <v>132</v>
      </c>
      <c r="GJ47" s="22" t="s">
        <v>46</v>
      </c>
      <c r="GK47" s="8" t="s">
        <v>433</v>
      </c>
      <c r="GL47" s="32" t="s">
        <v>92</v>
      </c>
      <c r="GM47" s="8" t="s">
        <v>132</v>
      </c>
      <c r="GN47" s="22" t="s">
        <v>46</v>
      </c>
      <c r="GO47" s="8" t="s">
        <v>433</v>
      </c>
      <c r="GP47" s="32" t="s">
        <v>92</v>
      </c>
      <c r="GQ47" s="8" t="s">
        <v>132</v>
      </c>
      <c r="GR47" s="22" t="s">
        <v>46</v>
      </c>
      <c r="GS47" s="8" t="s">
        <v>433</v>
      </c>
      <c r="GT47" s="32" t="s">
        <v>92</v>
      </c>
      <c r="GU47" s="8" t="s">
        <v>132</v>
      </c>
      <c r="GV47" s="22" t="s">
        <v>46</v>
      </c>
      <c r="GW47" s="8" t="s">
        <v>433</v>
      </c>
      <c r="GX47" s="32" t="s">
        <v>92</v>
      </c>
      <c r="GY47" s="8" t="s">
        <v>132</v>
      </c>
      <c r="GZ47" s="22" t="s">
        <v>46</v>
      </c>
      <c r="HA47" s="8" t="s">
        <v>433</v>
      </c>
      <c r="HB47" s="32" t="s">
        <v>92</v>
      </c>
      <c r="HC47" s="8" t="s">
        <v>132</v>
      </c>
      <c r="HD47" s="22" t="s">
        <v>46</v>
      </c>
      <c r="HE47" s="8" t="s">
        <v>433</v>
      </c>
      <c r="HF47" s="32" t="s">
        <v>92</v>
      </c>
      <c r="HG47" s="8" t="s">
        <v>132</v>
      </c>
      <c r="HH47" s="22" t="s">
        <v>46</v>
      </c>
      <c r="HI47" s="8" t="s">
        <v>433</v>
      </c>
      <c r="HJ47" s="32" t="s">
        <v>92</v>
      </c>
      <c r="HK47" s="8" t="s">
        <v>132</v>
      </c>
      <c r="HL47" s="22" t="s">
        <v>46</v>
      </c>
      <c r="HM47" s="8" t="s">
        <v>433</v>
      </c>
      <c r="HN47" s="32" t="s">
        <v>92</v>
      </c>
      <c r="HO47" s="8" t="s">
        <v>132</v>
      </c>
      <c r="HP47" s="22" t="s">
        <v>46</v>
      </c>
      <c r="HQ47" s="8" t="s">
        <v>433</v>
      </c>
      <c r="HR47" s="32" t="s">
        <v>92</v>
      </c>
      <c r="HS47" s="8" t="s">
        <v>132</v>
      </c>
      <c r="HT47" s="22" t="s">
        <v>46</v>
      </c>
      <c r="HU47" s="8" t="s">
        <v>433</v>
      </c>
      <c r="HV47" s="32" t="s">
        <v>92</v>
      </c>
      <c r="HW47" s="8" t="s">
        <v>132</v>
      </c>
      <c r="HX47" s="22" t="s">
        <v>46</v>
      </c>
      <c r="HY47" s="8" t="s">
        <v>433</v>
      </c>
      <c r="HZ47" s="32" t="s">
        <v>92</v>
      </c>
      <c r="IA47" s="8" t="s">
        <v>132</v>
      </c>
      <c r="IB47" s="22" t="s">
        <v>46</v>
      </c>
      <c r="IC47" s="8" t="s">
        <v>433</v>
      </c>
      <c r="ID47" s="32" t="s">
        <v>92</v>
      </c>
      <c r="IE47" s="8" t="s">
        <v>132</v>
      </c>
      <c r="IF47" s="22" t="s">
        <v>46</v>
      </c>
      <c r="IG47" s="8" t="s">
        <v>433</v>
      </c>
      <c r="IH47" s="32" t="s">
        <v>92</v>
      </c>
      <c r="II47" s="8" t="s">
        <v>132</v>
      </c>
      <c r="IJ47" s="22" t="s">
        <v>46</v>
      </c>
      <c r="IK47" s="8" t="s">
        <v>433</v>
      </c>
      <c r="IL47" s="32" t="s">
        <v>92</v>
      </c>
      <c r="IM47" s="8" t="s">
        <v>132</v>
      </c>
      <c r="IN47" s="22" t="s">
        <v>46</v>
      </c>
      <c r="IO47" s="8" t="s">
        <v>433</v>
      </c>
      <c r="IP47" s="32" t="s">
        <v>92</v>
      </c>
      <c r="IQ47" s="8" t="s">
        <v>132</v>
      </c>
      <c r="IR47" s="22" t="s">
        <v>46</v>
      </c>
      <c r="IS47" s="8" t="s">
        <v>433</v>
      </c>
      <c r="IT47" s="32" t="s">
        <v>92</v>
      </c>
      <c r="IU47" s="8" t="s">
        <v>132</v>
      </c>
      <c r="IV47" s="22" t="s">
        <v>46</v>
      </c>
      <c r="IW47" s="8" t="s">
        <v>433</v>
      </c>
      <c r="IX47" s="32" t="s">
        <v>92</v>
      </c>
      <c r="IY47" s="8" t="s">
        <v>132</v>
      </c>
      <c r="IZ47" s="22" t="s">
        <v>46</v>
      </c>
      <c r="JA47" s="8" t="s">
        <v>433</v>
      </c>
      <c r="JB47" s="32" t="s">
        <v>92</v>
      </c>
      <c r="JC47" s="8" t="s">
        <v>132</v>
      </c>
      <c r="JD47" s="22" t="s">
        <v>46</v>
      </c>
      <c r="JE47" s="8" t="s">
        <v>433</v>
      </c>
      <c r="JF47" s="32" t="s">
        <v>92</v>
      </c>
      <c r="JG47" s="8" t="s">
        <v>132</v>
      </c>
      <c r="JH47" s="22" t="s">
        <v>46</v>
      </c>
      <c r="JI47" s="8" t="s">
        <v>433</v>
      </c>
      <c r="JJ47" s="32" t="s">
        <v>92</v>
      </c>
      <c r="JK47" s="8" t="s">
        <v>132</v>
      </c>
      <c r="JL47" s="22" t="s">
        <v>46</v>
      </c>
      <c r="JM47" s="8" t="s">
        <v>433</v>
      </c>
      <c r="JN47" s="32" t="s">
        <v>92</v>
      </c>
      <c r="JO47" s="8" t="s">
        <v>132</v>
      </c>
      <c r="JP47" s="22" t="s">
        <v>46</v>
      </c>
      <c r="JQ47" s="8" t="s">
        <v>433</v>
      </c>
      <c r="JR47" s="32" t="s">
        <v>92</v>
      </c>
      <c r="JS47" s="8" t="s">
        <v>132</v>
      </c>
      <c r="JT47" s="22" t="s">
        <v>46</v>
      </c>
      <c r="JU47" s="8" t="s">
        <v>433</v>
      </c>
      <c r="JV47" s="32" t="s">
        <v>92</v>
      </c>
      <c r="JW47" s="8" t="s">
        <v>132</v>
      </c>
      <c r="JX47" s="22" t="s">
        <v>46</v>
      </c>
      <c r="JY47" s="8" t="s">
        <v>433</v>
      </c>
      <c r="JZ47" s="32" t="s">
        <v>92</v>
      </c>
      <c r="KA47" s="8" t="s">
        <v>132</v>
      </c>
      <c r="KB47" s="22" t="s">
        <v>46</v>
      </c>
      <c r="KC47" s="8" t="s">
        <v>433</v>
      </c>
      <c r="KD47" s="32" t="s">
        <v>92</v>
      </c>
      <c r="KE47" s="8" t="s">
        <v>132</v>
      </c>
      <c r="KF47" s="22" t="s">
        <v>46</v>
      </c>
      <c r="KG47" s="8" t="s">
        <v>433</v>
      </c>
      <c r="KH47" s="32" t="s">
        <v>92</v>
      </c>
      <c r="KI47" s="8" t="s">
        <v>132</v>
      </c>
      <c r="KJ47" s="22" t="s">
        <v>46</v>
      </c>
      <c r="KK47" s="8" t="s">
        <v>433</v>
      </c>
      <c r="KL47" s="32" t="s">
        <v>92</v>
      </c>
      <c r="KM47" s="8" t="s">
        <v>132</v>
      </c>
      <c r="KN47" s="22" t="s">
        <v>46</v>
      </c>
      <c r="KO47" s="8" t="s">
        <v>433</v>
      </c>
      <c r="KP47" s="32" t="s">
        <v>92</v>
      </c>
      <c r="KQ47" s="8" t="s">
        <v>132</v>
      </c>
      <c r="KR47" s="22" t="s">
        <v>46</v>
      </c>
      <c r="KS47" s="8" t="s">
        <v>433</v>
      </c>
      <c r="KT47" s="32" t="s">
        <v>92</v>
      </c>
      <c r="KU47" s="8" t="s">
        <v>132</v>
      </c>
      <c r="KV47" s="22" t="s">
        <v>46</v>
      </c>
      <c r="KW47" s="8" t="s">
        <v>433</v>
      </c>
      <c r="KX47" s="32" t="s">
        <v>92</v>
      </c>
      <c r="KY47" s="8" t="s">
        <v>132</v>
      </c>
      <c r="KZ47" s="22" t="s">
        <v>46</v>
      </c>
      <c r="LA47" s="8" t="s">
        <v>433</v>
      </c>
      <c r="LB47" s="32" t="s">
        <v>92</v>
      </c>
      <c r="LC47" s="8" t="s">
        <v>132</v>
      </c>
      <c r="LD47" s="22" t="s">
        <v>46</v>
      </c>
      <c r="LE47" s="8" t="s">
        <v>433</v>
      </c>
      <c r="LF47" s="32" t="s">
        <v>92</v>
      </c>
      <c r="LG47" s="8" t="s">
        <v>132</v>
      </c>
      <c r="LH47" s="22" t="s">
        <v>46</v>
      </c>
      <c r="LI47" s="8" t="s">
        <v>433</v>
      </c>
      <c r="LJ47" s="32" t="s">
        <v>92</v>
      </c>
      <c r="LK47" s="8" t="s">
        <v>132</v>
      </c>
      <c r="LL47" s="22" t="s">
        <v>46</v>
      </c>
      <c r="LM47" s="8" t="s">
        <v>433</v>
      </c>
      <c r="LN47" s="32" t="s">
        <v>92</v>
      </c>
      <c r="LO47" s="8" t="s">
        <v>132</v>
      </c>
      <c r="LP47" s="22" t="s">
        <v>46</v>
      </c>
      <c r="LQ47" s="8" t="s">
        <v>433</v>
      </c>
      <c r="LR47" s="32" t="s">
        <v>92</v>
      </c>
      <c r="LS47" s="8" t="s">
        <v>132</v>
      </c>
      <c r="LT47" s="22" t="s">
        <v>46</v>
      </c>
      <c r="LU47" s="8" t="s">
        <v>433</v>
      </c>
      <c r="LV47" s="32" t="s">
        <v>92</v>
      </c>
      <c r="LW47" s="8" t="s">
        <v>132</v>
      </c>
      <c r="LX47" s="22" t="s">
        <v>46</v>
      </c>
      <c r="LY47" s="8" t="s">
        <v>433</v>
      </c>
      <c r="LZ47" s="32" t="s">
        <v>92</v>
      </c>
      <c r="MA47" s="8" t="s">
        <v>132</v>
      </c>
      <c r="MB47" s="22" t="s">
        <v>46</v>
      </c>
      <c r="MC47" s="8" t="s">
        <v>433</v>
      </c>
      <c r="MD47" s="32" t="s">
        <v>92</v>
      </c>
      <c r="ME47" s="8" t="s">
        <v>132</v>
      </c>
      <c r="MF47" s="22" t="s">
        <v>46</v>
      </c>
      <c r="MG47" s="8" t="s">
        <v>433</v>
      </c>
      <c r="MH47" s="32" t="s">
        <v>92</v>
      </c>
      <c r="MI47" s="8" t="s">
        <v>132</v>
      </c>
      <c r="MJ47" s="22" t="s">
        <v>46</v>
      </c>
      <c r="MK47" s="8" t="s">
        <v>433</v>
      </c>
      <c r="ML47" s="32" t="s">
        <v>92</v>
      </c>
      <c r="MM47" s="8" t="s">
        <v>132</v>
      </c>
      <c r="MN47" s="22" t="s">
        <v>46</v>
      </c>
      <c r="MO47" s="8" t="s">
        <v>433</v>
      </c>
      <c r="MP47" s="32" t="s">
        <v>92</v>
      </c>
      <c r="MQ47" s="8" t="s">
        <v>132</v>
      </c>
      <c r="MR47" s="22" t="s">
        <v>46</v>
      </c>
      <c r="MS47" s="8" t="s">
        <v>433</v>
      </c>
      <c r="MT47" s="32" t="s">
        <v>92</v>
      </c>
      <c r="MU47" s="8" t="s">
        <v>132</v>
      </c>
      <c r="MV47" s="22" t="s">
        <v>46</v>
      </c>
      <c r="MW47" s="8" t="s">
        <v>433</v>
      </c>
      <c r="MX47" s="32" t="s">
        <v>92</v>
      </c>
      <c r="MY47" s="8" t="s">
        <v>132</v>
      </c>
      <c r="MZ47" s="22" t="s">
        <v>46</v>
      </c>
      <c r="NA47" s="8" t="s">
        <v>433</v>
      </c>
      <c r="NB47" s="32" t="s">
        <v>92</v>
      </c>
      <c r="NC47" s="8" t="s">
        <v>132</v>
      </c>
      <c r="ND47" s="22" t="s">
        <v>46</v>
      </c>
      <c r="NE47" s="8" t="s">
        <v>433</v>
      </c>
      <c r="NF47" s="32" t="s">
        <v>92</v>
      </c>
      <c r="NG47" s="8" t="s">
        <v>132</v>
      </c>
      <c r="NH47" s="22" t="s">
        <v>46</v>
      </c>
      <c r="NI47" s="8" t="s">
        <v>433</v>
      </c>
      <c r="NJ47" s="32" t="s">
        <v>92</v>
      </c>
      <c r="NK47" s="8" t="s">
        <v>132</v>
      </c>
      <c r="NL47" s="22" t="s">
        <v>46</v>
      </c>
      <c r="NM47" s="8" t="s">
        <v>433</v>
      </c>
      <c r="NN47" s="32" t="s">
        <v>92</v>
      </c>
      <c r="NO47" s="8" t="s">
        <v>132</v>
      </c>
      <c r="NP47" s="22" t="s">
        <v>46</v>
      </c>
      <c r="NQ47" s="8" t="s">
        <v>433</v>
      </c>
      <c r="NR47" s="32" t="s">
        <v>92</v>
      </c>
      <c r="NS47" s="8" t="s">
        <v>132</v>
      </c>
      <c r="NT47" s="22" t="s">
        <v>46</v>
      </c>
      <c r="NU47" s="8" t="s">
        <v>433</v>
      </c>
      <c r="NV47" s="32" t="s">
        <v>92</v>
      </c>
      <c r="NW47" s="8" t="s">
        <v>132</v>
      </c>
      <c r="NX47" s="22" t="s">
        <v>46</v>
      </c>
      <c r="NY47" s="8" t="s">
        <v>433</v>
      </c>
      <c r="NZ47" s="32" t="s">
        <v>92</v>
      </c>
      <c r="OA47" s="8" t="s">
        <v>132</v>
      </c>
      <c r="OB47" s="22" t="s">
        <v>46</v>
      </c>
      <c r="OC47" s="8" t="s">
        <v>433</v>
      </c>
      <c r="OD47" s="32" t="s">
        <v>92</v>
      </c>
      <c r="OE47" s="8" t="s">
        <v>132</v>
      </c>
      <c r="OF47" s="22" t="s">
        <v>46</v>
      </c>
      <c r="OG47" s="8" t="s">
        <v>433</v>
      </c>
      <c r="OH47" s="32" t="s">
        <v>92</v>
      </c>
      <c r="OI47" s="8" t="s">
        <v>132</v>
      </c>
      <c r="OJ47" s="22" t="s">
        <v>46</v>
      </c>
      <c r="OK47" s="8" t="s">
        <v>433</v>
      </c>
      <c r="OL47" s="32" t="s">
        <v>92</v>
      </c>
      <c r="OM47" s="8" t="s">
        <v>132</v>
      </c>
      <c r="ON47" s="22" t="s">
        <v>46</v>
      </c>
      <c r="OO47" s="8" t="s">
        <v>433</v>
      </c>
      <c r="OP47" s="32" t="s">
        <v>92</v>
      </c>
      <c r="OQ47" s="8" t="s">
        <v>132</v>
      </c>
      <c r="OR47" s="22" t="s">
        <v>46</v>
      </c>
      <c r="OS47" s="8" t="s">
        <v>433</v>
      </c>
      <c r="OT47" s="32" t="s">
        <v>92</v>
      </c>
      <c r="OU47" s="8" t="s">
        <v>132</v>
      </c>
      <c r="OV47" s="22" t="s">
        <v>46</v>
      </c>
      <c r="OW47" s="8" t="s">
        <v>433</v>
      </c>
      <c r="OX47" s="32" t="s">
        <v>92</v>
      </c>
      <c r="OY47" s="8" t="s">
        <v>132</v>
      </c>
      <c r="OZ47" s="22" t="s">
        <v>46</v>
      </c>
      <c r="PA47" s="8" t="s">
        <v>433</v>
      </c>
      <c r="PB47" s="32" t="s">
        <v>92</v>
      </c>
      <c r="PC47" s="8" t="s">
        <v>132</v>
      </c>
      <c r="PD47" s="22" t="s">
        <v>46</v>
      </c>
      <c r="PE47" s="8" t="s">
        <v>433</v>
      </c>
      <c r="PF47" s="32" t="s">
        <v>92</v>
      </c>
      <c r="PG47" s="8" t="s">
        <v>132</v>
      </c>
      <c r="PH47" s="22" t="s">
        <v>46</v>
      </c>
      <c r="PI47" s="8" t="s">
        <v>433</v>
      </c>
      <c r="PJ47" s="32" t="s">
        <v>92</v>
      </c>
      <c r="PK47" s="8" t="s">
        <v>132</v>
      </c>
      <c r="PL47" s="22" t="s">
        <v>46</v>
      </c>
      <c r="PM47" s="8" t="s">
        <v>433</v>
      </c>
      <c r="PN47" s="32" t="s">
        <v>92</v>
      </c>
      <c r="PO47" s="8" t="s">
        <v>132</v>
      </c>
      <c r="PP47" s="22" t="s">
        <v>46</v>
      </c>
      <c r="PQ47" s="8" t="s">
        <v>433</v>
      </c>
      <c r="PR47" s="32" t="s">
        <v>92</v>
      </c>
      <c r="PS47" s="8" t="s">
        <v>132</v>
      </c>
      <c r="PT47" s="22" t="s">
        <v>46</v>
      </c>
      <c r="PU47" s="8" t="s">
        <v>433</v>
      </c>
      <c r="PV47" s="32" t="s">
        <v>92</v>
      </c>
      <c r="PW47" s="8" t="s">
        <v>132</v>
      </c>
      <c r="PX47" s="22" t="s">
        <v>46</v>
      </c>
      <c r="PY47" s="8" t="s">
        <v>433</v>
      </c>
      <c r="PZ47" s="32" t="s">
        <v>92</v>
      </c>
      <c r="QA47" s="8" t="s">
        <v>132</v>
      </c>
      <c r="QB47" s="22" t="s">
        <v>46</v>
      </c>
      <c r="QC47" s="8" t="s">
        <v>433</v>
      </c>
      <c r="QD47" s="32" t="s">
        <v>92</v>
      </c>
      <c r="QE47" s="8" t="s">
        <v>132</v>
      </c>
      <c r="QF47" s="22" t="s">
        <v>46</v>
      </c>
      <c r="QG47" s="8" t="s">
        <v>433</v>
      </c>
      <c r="QH47" s="32" t="s">
        <v>92</v>
      </c>
      <c r="QI47" s="8" t="s">
        <v>132</v>
      </c>
      <c r="QJ47" s="22" t="s">
        <v>46</v>
      </c>
      <c r="QK47" s="8" t="s">
        <v>433</v>
      </c>
      <c r="QL47" s="32" t="s">
        <v>92</v>
      </c>
      <c r="QM47" s="8" t="s">
        <v>132</v>
      </c>
      <c r="QN47" s="22" t="s">
        <v>46</v>
      </c>
      <c r="QO47" s="8" t="s">
        <v>433</v>
      </c>
      <c r="QP47" s="32" t="s">
        <v>92</v>
      </c>
      <c r="QQ47" s="8" t="s">
        <v>132</v>
      </c>
      <c r="QR47" s="22" t="s">
        <v>46</v>
      </c>
      <c r="QS47" s="8" t="s">
        <v>433</v>
      </c>
      <c r="QT47" s="32" t="s">
        <v>92</v>
      </c>
      <c r="QU47" s="8" t="s">
        <v>132</v>
      </c>
      <c r="QV47" s="22" t="s">
        <v>46</v>
      </c>
      <c r="QW47" s="8" t="s">
        <v>433</v>
      </c>
      <c r="QX47" s="32" t="s">
        <v>92</v>
      </c>
      <c r="QY47" s="8" t="s">
        <v>132</v>
      </c>
      <c r="QZ47" s="22" t="s">
        <v>46</v>
      </c>
      <c r="RA47" s="8" t="s">
        <v>433</v>
      </c>
      <c r="RB47" s="32" t="s">
        <v>92</v>
      </c>
      <c r="RC47" s="8" t="s">
        <v>132</v>
      </c>
      <c r="RD47" s="22" t="s">
        <v>46</v>
      </c>
      <c r="RE47" s="8" t="s">
        <v>433</v>
      </c>
      <c r="RF47" s="32" t="s">
        <v>92</v>
      </c>
      <c r="RG47" s="8" t="s">
        <v>132</v>
      </c>
      <c r="RH47" s="22" t="s">
        <v>46</v>
      </c>
      <c r="RI47" s="8" t="s">
        <v>433</v>
      </c>
      <c r="RJ47" s="32" t="s">
        <v>92</v>
      </c>
      <c r="RK47" s="8" t="s">
        <v>132</v>
      </c>
      <c r="RL47" s="22" t="s">
        <v>46</v>
      </c>
      <c r="RM47" s="8" t="s">
        <v>433</v>
      </c>
      <c r="RN47" s="32" t="s">
        <v>92</v>
      </c>
      <c r="RO47" s="8" t="s">
        <v>132</v>
      </c>
      <c r="RP47" s="22" t="s">
        <v>46</v>
      </c>
      <c r="RQ47" s="8" t="s">
        <v>433</v>
      </c>
      <c r="RR47" s="32" t="s">
        <v>92</v>
      </c>
      <c r="RS47" s="8" t="s">
        <v>132</v>
      </c>
      <c r="RT47" s="22" t="s">
        <v>46</v>
      </c>
      <c r="RU47" s="8" t="s">
        <v>433</v>
      </c>
      <c r="RV47" s="32" t="s">
        <v>92</v>
      </c>
      <c r="RW47" s="8" t="s">
        <v>132</v>
      </c>
      <c r="RX47" s="22" t="s">
        <v>46</v>
      </c>
      <c r="RY47" s="8" t="s">
        <v>433</v>
      </c>
      <c r="RZ47" s="32" t="s">
        <v>92</v>
      </c>
      <c r="SA47" s="8" t="s">
        <v>132</v>
      </c>
      <c r="SB47" s="22" t="s">
        <v>46</v>
      </c>
      <c r="SC47" s="8" t="s">
        <v>433</v>
      </c>
      <c r="SD47" s="32" t="s">
        <v>92</v>
      </c>
      <c r="SE47" s="8" t="s">
        <v>132</v>
      </c>
      <c r="SF47" s="22" t="s">
        <v>46</v>
      </c>
      <c r="SG47" s="8" t="s">
        <v>433</v>
      </c>
      <c r="SH47" s="32" t="s">
        <v>92</v>
      </c>
      <c r="SI47" s="8" t="s">
        <v>132</v>
      </c>
      <c r="SJ47" s="22" t="s">
        <v>46</v>
      </c>
      <c r="SK47" s="8" t="s">
        <v>433</v>
      </c>
      <c r="SL47" s="32" t="s">
        <v>92</v>
      </c>
      <c r="SM47" s="8" t="s">
        <v>132</v>
      </c>
      <c r="SN47" s="22" t="s">
        <v>46</v>
      </c>
      <c r="SO47" s="8" t="s">
        <v>433</v>
      </c>
      <c r="SP47" s="32" t="s">
        <v>92</v>
      </c>
      <c r="SQ47" s="8" t="s">
        <v>132</v>
      </c>
      <c r="SR47" s="22" t="s">
        <v>46</v>
      </c>
      <c r="SS47" s="8" t="s">
        <v>433</v>
      </c>
      <c r="ST47" s="32" t="s">
        <v>92</v>
      </c>
      <c r="SU47" s="8" t="s">
        <v>132</v>
      </c>
      <c r="SV47" s="22" t="s">
        <v>46</v>
      </c>
      <c r="SW47" s="8" t="s">
        <v>433</v>
      </c>
      <c r="SX47" s="32" t="s">
        <v>92</v>
      </c>
      <c r="SY47" s="8" t="s">
        <v>132</v>
      </c>
      <c r="SZ47" s="22" t="s">
        <v>46</v>
      </c>
      <c r="TA47" s="8" t="s">
        <v>433</v>
      </c>
      <c r="TB47" s="32" t="s">
        <v>92</v>
      </c>
      <c r="TC47" s="8" t="s">
        <v>132</v>
      </c>
      <c r="TD47" s="22" t="s">
        <v>46</v>
      </c>
      <c r="TE47" s="8" t="s">
        <v>433</v>
      </c>
      <c r="TF47" s="32" t="s">
        <v>92</v>
      </c>
      <c r="TG47" s="8" t="s">
        <v>132</v>
      </c>
      <c r="TH47" s="22" t="s">
        <v>46</v>
      </c>
      <c r="TI47" s="8" t="s">
        <v>433</v>
      </c>
      <c r="TJ47" s="32" t="s">
        <v>92</v>
      </c>
      <c r="TK47" s="8" t="s">
        <v>132</v>
      </c>
      <c r="TL47" s="22" t="s">
        <v>46</v>
      </c>
      <c r="TM47" s="8" t="s">
        <v>433</v>
      </c>
      <c r="TN47" s="32" t="s">
        <v>92</v>
      </c>
      <c r="TO47" s="8" t="s">
        <v>132</v>
      </c>
      <c r="TP47" s="22" t="s">
        <v>46</v>
      </c>
      <c r="TQ47" s="8" t="s">
        <v>433</v>
      </c>
      <c r="TR47" s="32" t="s">
        <v>92</v>
      </c>
      <c r="TS47" s="8" t="s">
        <v>132</v>
      </c>
      <c r="TT47" s="22" t="s">
        <v>46</v>
      </c>
      <c r="TU47" s="8" t="s">
        <v>433</v>
      </c>
      <c r="TV47" s="32" t="s">
        <v>92</v>
      </c>
      <c r="TW47" s="8" t="s">
        <v>132</v>
      </c>
      <c r="TX47" s="22" t="s">
        <v>46</v>
      </c>
      <c r="TY47" s="8" t="s">
        <v>433</v>
      </c>
      <c r="TZ47" s="32" t="s">
        <v>92</v>
      </c>
      <c r="UA47" s="8" t="s">
        <v>132</v>
      </c>
      <c r="UB47" s="22" t="s">
        <v>46</v>
      </c>
      <c r="UC47" s="8" t="s">
        <v>433</v>
      </c>
      <c r="UD47" s="32" t="s">
        <v>92</v>
      </c>
      <c r="UE47" s="8" t="s">
        <v>132</v>
      </c>
      <c r="UF47" s="22" t="s">
        <v>46</v>
      </c>
      <c r="UG47" s="8" t="s">
        <v>433</v>
      </c>
      <c r="UH47" s="32" t="s">
        <v>92</v>
      </c>
      <c r="UI47" s="8" t="s">
        <v>132</v>
      </c>
      <c r="UJ47" s="22" t="s">
        <v>46</v>
      </c>
      <c r="UK47" s="8" t="s">
        <v>433</v>
      </c>
      <c r="UL47" s="32" t="s">
        <v>92</v>
      </c>
      <c r="UM47" s="8" t="s">
        <v>132</v>
      </c>
      <c r="UN47" s="22" t="s">
        <v>46</v>
      </c>
      <c r="UO47" s="8" t="s">
        <v>433</v>
      </c>
      <c r="UP47" s="32" t="s">
        <v>92</v>
      </c>
      <c r="UQ47" s="8" t="s">
        <v>132</v>
      </c>
      <c r="UR47" s="22" t="s">
        <v>46</v>
      </c>
      <c r="US47" s="8" t="s">
        <v>433</v>
      </c>
      <c r="UT47" s="32" t="s">
        <v>92</v>
      </c>
      <c r="UU47" s="8" t="s">
        <v>132</v>
      </c>
      <c r="UV47" s="22" t="s">
        <v>46</v>
      </c>
      <c r="UW47" s="8" t="s">
        <v>433</v>
      </c>
      <c r="UX47" s="32" t="s">
        <v>92</v>
      </c>
      <c r="UY47" s="8" t="s">
        <v>132</v>
      </c>
      <c r="UZ47" s="22" t="s">
        <v>46</v>
      </c>
      <c r="VA47" s="8" t="s">
        <v>433</v>
      </c>
      <c r="VB47" s="32" t="s">
        <v>92</v>
      </c>
      <c r="VC47" s="8" t="s">
        <v>132</v>
      </c>
      <c r="VD47" s="22" t="s">
        <v>46</v>
      </c>
      <c r="VE47" s="8" t="s">
        <v>433</v>
      </c>
      <c r="VF47" s="32" t="s">
        <v>92</v>
      </c>
      <c r="VG47" s="8" t="s">
        <v>132</v>
      </c>
      <c r="VH47" s="22" t="s">
        <v>46</v>
      </c>
      <c r="VI47" s="8" t="s">
        <v>433</v>
      </c>
      <c r="VJ47" s="32" t="s">
        <v>92</v>
      </c>
      <c r="VK47" s="8" t="s">
        <v>132</v>
      </c>
      <c r="VL47" s="22" t="s">
        <v>46</v>
      </c>
      <c r="VM47" s="8" t="s">
        <v>433</v>
      </c>
      <c r="VN47" s="32" t="s">
        <v>92</v>
      </c>
      <c r="VO47" s="8" t="s">
        <v>132</v>
      </c>
      <c r="VP47" s="22" t="s">
        <v>46</v>
      </c>
      <c r="VQ47" s="8" t="s">
        <v>433</v>
      </c>
      <c r="VR47" s="32" t="s">
        <v>92</v>
      </c>
      <c r="VS47" s="8" t="s">
        <v>132</v>
      </c>
      <c r="VT47" s="22" t="s">
        <v>46</v>
      </c>
      <c r="VU47" s="8" t="s">
        <v>433</v>
      </c>
      <c r="VV47" s="32" t="s">
        <v>92</v>
      </c>
      <c r="VW47" s="8" t="s">
        <v>132</v>
      </c>
      <c r="VX47" s="22" t="s">
        <v>46</v>
      </c>
      <c r="VY47" s="8" t="s">
        <v>433</v>
      </c>
      <c r="VZ47" s="32" t="s">
        <v>92</v>
      </c>
      <c r="WA47" s="8" t="s">
        <v>132</v>
      </c>
      <c r="WB47" s="22" t="s">
        <v>46</v>
      </c>
      <c r="WC47" s="8" t="s">
        <v>433</v>
      </c>
      <c r="WD47" s="32" t="s">
        <v>92</v>
      </c>
      <c r="WE47" s="8" t="s">
        <v>132</v>
      </c>
      <c r="WF47" s="22" t="s">
        <v>46</v>
      </c>
      <c r="WG47" s="8" t="s">
        <v>433</v>
      </c>
      <c r="WH47" s="32" t="s">
        <v>92</v>
      </c>
      <c r="WI47" s="8" t="s">
        <v>132</v>
      </c>
      <c r="WJ47" s="22" t="s">
        <v>46</v>
      </c>
      <c r="WK47" s="8" t="s">
        <v>433</v>
      </c>
      <c r="WL47" s="32" t="s">
        <v>92</v>
      </c>
      <c r="WM47" s="8" t="s">
        <v>132</v>
      </c>
      <c r="WN47" s="22" t="s">
        <v>46</v>
      </c>
      <c r="WO47" s="8" t="s">
        <v>433</v>
      </c>
      <c r="WP47" s="32" t="s">
        <v>92</v>
      </c>
      <c r="WQ47" s="8" t="s">
        <v>132</v>
      </c>
      <c r="WR47" s="22" t="s">
        <v>46</v>
      </c>
      <c r="WS47" s="8" t="s">
        <v>433</v>
      </c>
      <c r="WT47" s="32" t="s">
        <v>92</v>
      </c>
      <c r="WU47" s="8" t="s">
        <v>132</v>
      </c>
      <c r="WV47" s="22" t="s">
        <v>46</v>
      </c>
      <c r="WW47" s="8" t="s">
        <v>433</v>
      </c>
      <c r="WX47" s="32" t="s">
        <v>92</v>
      </c>
      <c r="WY47" s="8" t="s">
        <v>132</v>
      </c>
      <c r="WZ47" s="22" t="s">
        <v>46</v>
      </c>
      <c r="XA47" s="8" t="s">
        <v>433</v>
      </c>
      <c r="XB47" s="32" t="s">
        <v>92</v>
      </c>
      <c r="XC47" s="8" t="s">
        <v>132</v>
      </c>
      <c r="XD47" s="22" t="s">
        <v>46</v>
      </c>
      <c r="XE47" s="8" t="s">
        <v>433</v>
      </c>
      <c r="XF47" s="32" t="s">
        <v>92</v>
      </c>
      <c r="XG47" s="8" t="s">
        <v>132</v>
      </c>
      <c r="XH47" s="22" t="s">
        <v>46</v>
      </c>
      <c r="XI47" s="8" t="s">
        <v>433</v>
      </c>
      <c r="XJ47" s="32" t="s">
        <v>92</v>
      </c>
      <c r="XK47" s="8" t="s">
        <v>132</v>
      </c>
      <c r="XL47" s="22" t="s">
        <v>46</v>
      </c>
      <c r="XM47" s="8" t="s">
        <v>433</v>
      </c>
      <c r="XN47" s="32" t="s">
        <v>92</v>
      </c>
      <c r="XO47" s="8" t="s">
        <v>132</v>
      </c>
      <c r="XP47" s="22" t="s">
        <v>46</v>
      </c>
      <c r="XQ47" s="8" t="s">
        <v>433</v>
      </c>
      <c r="XR47" s="32" t="s">
        <v>92</v>
      </c>
      <c r="XS47" s="8" t="s">
        <v>132</v>
      </c>
      <c r="XT47" s="22" t="s">
        <v>46</v>
      </c>
      <c r="XU47" s="8" t="s">
        <v>433</v>
      </c>
      <c r="XV47" s="32" t="s">
        <v>92</v>
      </c>
      <c r="XW47" s="8" t="s">
        <v>132</v>
      </c>
      <c r="XX47" s="22" t="s">
        <v>46</v>
      </c>
      <c r="XY47" s="8" t="s">
        <v>433</v>
      </c>
      <c r="XZ47" s="32" t="s">
        <v>92</v>
      </c>
      <c r="YA47" s="8" t="s">
        <v>132</v>
      </c>
      <c r="YB47" s="22" t="s">
        <v>46</v>
      </c>
      <c r="YC47" s="8" t="s">
        <v>433</v>
      </c>
      <c r="YD47" s="32" t="s">
        <v>92</v>
      </c>
      <c r="YE47" s="8" t="s">
        <v>132</v>
      </c>
      <c r="YF47" s="22" t="s">
        <v>46</v>
      </c>
      <c r="YG47" s="8" t="s">
        <v>433</v>
      </c>
      <c r="YH47" s="32" t="s">
        <v>92</v>
      </c>
      <c r="YI47" s="8" t="s">
        <v>132</v>
      </c>
      <c r="YJ47" s="22" t="s">
        <v>46</v>
      </c>
      <c r="YK47" s="8" t="s">
        <v>433</v>
      </c>
      <c r="YL47" s="32" t="s">
        <v>92</v>
      </c>
      <c r="YM47" s="8" t="s">
        <v>132</v>
      </c>
      <c r="YN47" s="22" t="s">
        <v>46</v>
      </c>
      <c r="YO47" s="8" t="s">
        <v>433</v>
      </c>
      <c r="YP47" s="32" t="s">
        <v>92</v>
      </c>
      <c r="YQ47" s="8" t="s">
        <v>132</v>
      </c>
      <c r="YR47" s="22" t="s">
        <v>46</v>
      </c>
      <c r="YS47" s="8" t="s">
        <v>433</v>
      </c>
      <c r="YT47" s="32" t="s">
        <v>92</v>
      </c>
      <c r="YU47" s="8" t="s">
        <v>132</v>
      </c>
      <c r="YV47" s="22" t="s">
        <v>46</v>
      </c>
      <c r="YW47" s="8" t="s">
        <v>433</v>
      </c>
      <c r="YX47" s="32" t="s">
        <v>92</v>
      </c>
      <c r="YY47" s="8" t="s">
        <v>132</v>
      </c>
      <c r="YZ47" s="22" t="s">
        <v>46</v>
      </c>
      <c r="ZA47" s="8" t="s">
        <v>433</v>
      </c>
      <c r="ZB47" s="32" t="s">
        <v>92</v>
      </c>
      <c r="ZC47" s="8" t="s">
        <v>132</v>
      </c>
      <c r="ZD47" s="22" t="s">
        <v>46</v>
      </c>
      <c r="ZE47" s="8" t="s">
        <v>433</v>
      </c>
      <c r="ZF47" s="32" t="s">
        <v>92</v>
      </c>
      <c r="ZG47" s="8" t="s">
        <v>132</v>
      </c>
      <c r="ZH47" s="22" t="s">
        <v>46</v>
      </c>
      <c r="ZI47" s="8" t="s">
        <v>433</v>
      </c>
      <c r="ZJ47" s="32" t="s">
        <v>92</v>
      </c>
      <c r="ZK47" s="8" t="s">
        <v>132</v>
      </c>
      <c r="ZL47" s="22" t="s">
        <v>46</v>
      </c>
      <c r="ZM47" s="8" t="s">
        <v>433</v>
      </c>
      <c r="ZN47" s="32" t="s">
        <v>92</v>
      </c>
      <c r="ZO47" s="8" t="s">
        <v>132</v>
      </c>
      <c r="ZP47" s="22" t="s">
        <v>46</v>
      </c>
      <c r="ZQ47" s="8" t="s">
        <v>433</v>
      </c>
      <c r="ZR47" s="32" t="s">
        <v>92</v>
      </c>
      <c r="ZS47" s="8" t="s">
        <v>132</v>
      </c>
      <c r="ZT47" s="22" t="s">
        <v>46</v>
      </c>
      <c r="ZU47" s="8" t="s">
        <v>433</v>
      </c>
      <c r="ZV47" s="32" t="s">
        <v>92</v>
      </c>
      <c r="ZW47" s="8" t="s">
        <v>132</v>
      </c>
      <c r="ZX47" s="22" t="s">
        <v>46</v>
      </c>
      <c r="ZY47" s="8" t="s">
        <v>433</v>
      </c>
      <c r="ZZ47" s="32" t="s">
        <v>92</v>
      </c>
      <c r="AAA47" s="8" t="s">
        <v>132</v>
      </c>
      <c r="AAB47" s="22" t="s">
        <v>46</v>
      </c>
      <c r="AAC47" s="8" t="s">
        <v>433</v>
      </c>
      <c r="AAD47" s="32" t="s">
        <v>92</v>
      </c>
      <c r="AAE47" s="8" t="s">
        <v>132</v>
      </c>
      <c r="AAF47" s="22" t="s">
        <v>46</v>
      </c>
      <c r="AAG47" s="8" t="s">
        <v>433</v>
      </c>
      <c r="AAH47" s="32" t="s">
        <v>92</v>
      </c>
      <c r="AAI47" s="8" t="s">
        <v>132</v>
      </c>
      <c r="AAJ47" s="22" t="s">
        <v>46</v>
      </c>
      <c r="AAK47" s="8" t="s">
        <v>433</v>
      </c>
      <c r="AAL47" s="32" t="s">
        <v>92</v>
      </c>
      <c r="AAM47" s="8" t="s">
        <v>132</v>
      </c>
      <c r="AAN47" s="22" t="s">
        <v>46</v>
      </c>
      <c r="AAO47" s="8" t="s">
        <v>433</v>
      </c>
      <c r="AAP47" s="32" t="s">
        <v>92</v>
      </c>
      <c r="AAQ47" s="8" t="s">
        <v>132</v>
      </c>
      <c r="AAR47" s="22" t="s">
        <v>46</v>
      </c>
      <c r="AAS47" s="8" t="s">
        <v>433</v>
      </c>
      <c r="AAT47" s="32" t="s">
        <v>92</v>
      </c>
      <c r="AAU47" s="8" t="s">
        <v>132</v>
      </c>
      <c r="AAV47" s="22" t="s">
        <v>46</v>
      </c>
      <c r="AAW47" s="8" t="s">
        <v>433</v>
      </c>
      <c r="AAX47" s="32" t="s">
        <v>92</v>
      </c>
      <c r="AAY47" s="8" t="s">
        <v>132</v>
      </c>
      <c r="AAZ47" s="22" t="s">
        <v>46</v>
      </c>
      <c r="ABA47" s="8" t="s">
        <v>433</v>
      </c>
      <c r="ABB47" s="32" t="s">
        <v>92</v>
      </c>
      <c r="ABC47" s="8" t="s">
        <v>132</v>
      </c>
      <c r="ABD47" s="22" t="s">
        <v>46</v>
      </c>
      <c r="ABE47" s="8" t="s">
        <v>433</v>
      </c>
      <c r="ABF47" s="32" t="s">
        <v>92</v>
      </c>
      <c r="ABG47" s="8" t="s">
        <v>132</v>
      </c>
      <c r="ABH47" s="22" t="s">
        <v>46</v>
      </c>
      <c r="ABI47" s="8" t="s">
        <v>433</v>
      </c>
      <c r="ABJ47" s="32" t="s">
        <v>92</v>
      </c>
      <c r="ABK47" s="8" t="s">
        <v>132</v>
      </c>
      <c r="ABL47" s="22" t="s">
        <v>46</v>
      </c>
      <c r="ABM47" s="8" t="s">
        <v>433</v>
      </c>
      <c r="ABN47" s="32" t="s">
        <v>92</v>
      </c>
      <c r="ABO47" s="8" t="s">
        <v>132</v>
      </c>
      <c r="ABP47" s="22" t="s">
        <v>46</v>
      </c>
      <c r="ABQ47" s="8" t="s">
        <v>433</v>
      </c>
      <c r="ABR47" s="32" t="s">
        <v>92</v>
      </c>
      <c r="ABS47" s="8" t="s">
        <v>132</v>
      </c>
      <c r="ABT47" s="22" t="s">
        <v>46</v>
      </c>
      <c r="ABU47" s="8" t="s">
        <v>433</v>
      </c>
      <c r="ABV47" s="32" t="s">
        <v>92</v>
      </c>
      <c r="ABW47" s="8" t="s">
        <v>132</v>
      </c>
      <c r="ABX47" s="22" t="s">
        <v>46</v>
      </c>
      <c r="ABY47" s="8" t="s">
        <v>433</v>
      </c>
      <c r="ABZ47" s="32" t="s">
        <v>92</v>
      </c>
      <c r="ACA47" s="8" t="s">
        <v>132</v>
      </c>
      <c r="ACB47" s="22" t="s">
        <v>46</v>
      </c>
      <c r="ACC47" s="8" t="s">
        <v>433</v>
      </c>
      <c r="ACD47" s="32" t="s">
        <v>92</v>
      </c>
      <c r="ACE47" s="8" t="s">
        <v>132</v>
      </c>
      <c r="ACF47" s="22" t="s">
        <v>46</v>
      </c>
      <c r="ACG47" s="8" t="s">
        <v>433</v>
      </c>
      <c r="ACH47" s="32" t="s">
        <v>92</v>
      </c>
      <c r="ACI47" s="8" t="s">
        <v>132</v>
      </c>
      <c r="ACJ47" s="22" t="s">
        <v>46</v>
      </c>
      <c r="ACK47" s="8" t="s">
        <v>433</v>
      </c>
      <c r="ACL47" s="32" t="s">
        <v>92</v>
      </c>
      <c r="ACM47" s="8" t="s">
        <v>132</v>
      </c>
      <c r="ACN47" s="22" t="s">
        <v>46</v>
      </c>
      <c r="ACO47" s="8" t="s">
        <v>433</v>
      </c>
      <c r="ACP47" s="32" t="s">
        <v>92</v>
      </c>
      <c r="ACQ47" s="8" t="s">
        <v>132</v>
      </c>
      <c r="ACR47" s="22" t="s">
        <v>46</v>
      </c>
      <c r="ACS47" s="8" t="s">
        <v>433</v>
      </c>
      <c r="ACT47" s="32" t="s">
        <v>92</v>
      </c>
      <c r="ACU47" s="8" t="s">
        <v>132</v>
      </c>
      <c r="ACV47" s="22" t="s">
        <v>46</v>
      </c>
      <c r="ACW47" s="8" t="s">
        <v>433</v>
      </c>
      <c r="ACX47" s="32" t="s">
        <v>92</v>
      </c>
      <c r="ACY47" s="8" t="s">
        <v>132</v>
      </c>
      <c r="ACZ47" s="22" t="s">
        <v>46</v>
      </c>
      <c r="ADA47" s="8" t="s">
        <v>433</v>
      </c>
      <c r="ADB47" s="32" t="s">
        <v>92</v>
      </c>
      <c r="ADC47" s="8" t="s">
        <v>132</v>
      </c>
      <c r="ADD47" s="22" t="s">
        <v>46</v>
      </c>
      <c r="ADE47" s="8" t="s">
        <v>433</v>
      </c>
      <c r="ADF47" s="32" t="s">
        <v>92</v>
      </c>
      <c r="ADG47" s="8" t="s">
        <v>132</v>
      </c>
      <c r="ADH47" s="22" t="s">
        <v>46</v>
      </c>
      <c r="ADI47" s="8" t="s">
        <v>433</v>
      </c>
      <c r="ADJ47" s="32" t="s">
        <v>92</v>
      </c>
      <c r="ADK47" s="8" t="s">
        <v>132</v>
      </c>
      <c r="ADL47" s="22" t="s">
        <v>46</v>
      </c>
      <c r="ADM47" s="8" t="s">
        <v>433</v>
      </c>
      <c r="ADN47" s="32" t="s">
        <v>92</v>
      </c>
      <c r="ADO47" s="8" t="s">
        <v>132</v>
      </c>
      <c r="ADP47" s="22" t="s">
        <v>46</v>
      </c>
      <c r="ADQ47" s="8" t="s">
        <v>433</v>
      </c>
      <c r="ADR47" s="32" t="s">
        <v>92</v>
      </c>
      <c r="ADS47" s="8" t="s">
        <v>132</v>
      </c>
      <c r="ADT47" s="22" t="s">
        <v>46</v>
      </c>
      <c r="ADU47" s="8" t="s">
        <v>433</v>
      </c>
      <c r="ADV47" s="32" t="s">
        <v>92</v>
      </c>
      <c r="ADW47" s="8" t="s">
        <v>132</v>
      </c>
      <c r="ADX47" s="22" t="s">
        <v>46</v>
      </c>
      <c r="ADY47" s="8" t="s">
        <v>433</v>
      </c>
      <c r="ADZ47" s="32" t="s">
        <v>92</v>
      </c>
      <c r="AEA47" s="8" t="s">
        <v>132</v>
      </c>
      <c r="AEB47" s="22" t="s">
        <v>46</v>
      </c>
      <c r="AEC47" s="8" t="s">
        <v>433</v>
      </c>
      <c r="AED47" s="32" t="s">
        <v>92</v>
      </c>
      <c r="AEE47" s="8" t="s">
        <v>132</v>
      </c>
      <c r="AEF47" s="22" t="s">
        <v>46</v>
      </c>
      <c r="AEG47" s="8" t="s">
        <v>433</v>
      </c>
      <c r="AEH47" s="32" t="s">
        <v>92</v>
      </c>
      <c r="AEI47" s="8" t="s">
        <v>132</v>
      </c>
      <c r="AEJ47" s="22" t="s">
        <v>46</v>
      </c>
      <c r="AEK47" s="8" t="s">
        <v>433</v>
      </c>
      <c r="AEL47" s="32" t="s">
        <v>92</v>
      </c>
      <c r="AEM47" s="8" t="s">
        <v>132</v>
      </c>
      <c r="AEN47" s="22" t="s">
        <v>46</v>
      </c>
      <c r="AEO47" s="8" t="s">
        <v>433</v>
      </c>
      <c r="AEP47" s="32" t="s">
        <v>92</v>
      </c>
      <c r="AEQ47" s="8" t="s">
        <v>132</v>
      </c>
      <c r="AER47" s="22" t="s">
        <v>46</v>
      </c>
      <c r="AES47" s="8" t="s">
        <v>433</v>
      </c>
      <c r="AET47" s="32" t="s">
        <v>92</v>
      </c>
      <c r="AEU47" s="8" t="s">
        <v>132</v>
      </c>
      <c r="AEV47" s="22" t="s">
        <v>46</v>
      </c>
      <c r="AEW47" s="8" t="s">
        <v>433</v>
      </c>
      <c r="AEX47" s="32" t="s">
        <v>92</v>
      </c>
      <c r="AEY47" s="8" t="s">
        <v>132</v>
      </c>
      <c r="AEZ47" s="22" t="s">
        <v>46</v>
      </c>
      <c r="AFA47" s="8" t="s">
        <v>433</v>
      </c>
      <c r="AFB47" s="32" t="s">
        <v>92</v>
      </c>
      <c r="AFC47" s="8" t="s">
        <v>132</v>
      </c>
      <c r="AFD47" s="22" t="s">
        <v>46</v>
      </c>
      <c r="AFE47" s="8" t="s">
        <v>433</v>
      </c>
      <c r="AFF47" s="32" t="s">
        <v>92</v>
      </c>
      <c r="AFG47" s="8" t="s">
        <v>132</v>
      </c>
      <c r="AFH47" s="22" t="s">
        <v>46</v>
      </c>
      <c r="AFI47" s="8" t="s">
        <v>433</v>
      </c>
      <c r="AFJ47" s="32" t="s">
        <v>92</v>
      </c>
      <c r="AFK47" s="8" t="s">
        <v>132</v>
      </c>
      <c r="AFL47" s="22" t="s">
        <v>46</v>
      </c>
      <c r="AFM47" s="8" t="s">
        <v>433</v>
      </c>
      <c r="AFN47" s="32" t="s">
        <v>92</v>
      </c>
      <c r="AFO47" s="8" t="s">
        <v>132</v>
      </c>
      <c r="AFP47" s="22" t="s">
        <v>46</v>
      </c>
      <c r="AFQ47" s="8" t="s">
        <v>433</v>
      </c>
      <c r="AFR47" s="32" t="s">
        <v>92</v>
      </c>
      <c r="AFS47" s="8" t="s">
        <v>132</v>
      </c>
      <c r="AFT47" s="22" t="s">
        <v>46</v>
      </c>
      <c r="AFU47" s="8" t="s">
        <v>433</v>
      </c>
      <c r="AFV47" s="32" t="s">
        <v>92</v>
      </c>
      <c r="AFW47" s="8" t="s">
        <v>132</v>
      </c>
      <c r="AFX47" s="22" t="s">
        <v>46</v>
      </c>
      <c r="AFY47" s="8" t="s">
        <v>433</v>
      </c>
      <c r="AFZ47" s="32" t="s">
        <v>92</v>
      </c>
      <c r="AGA47" s="8" t="s">
        <v>132</v>
      </c>
      <c r="AGB47" s="22" t="s">
        <v>46</v>
      </c>
      <c r="AGC47" s="8" t="s">
        <v>433</v>
      </c>
      <c r="AGD47" s="32" t="s">
        <v>92</v>
      </c>
      <c r="AGE47" s="8" t="s">
        <v>132</v>
      </c>
      <c r="AGF47" s="22" t="s">
        <v>46</v>
      </c>
      <c r="AGG47" s="8" t="s">
        <v>433</v>
      </c>
      <c r="AGH47" s="32" t="s">
        <v>92</v>
      </c>
      <c r="AGI47" s="8" t="s">
        <v>132</v>
      </c>
      <c r="AGJ47" s="22" t="s">
        <v>46</v>
      </c>
      <c r="AGK47" s="8" t="s">
        <v>433</v>
      </c>
      <c r="AGL47" s="32" t="s">
        <v>92</v>
      </c>
      <c r="AGM47" s="8" t="s">
        <v>132</v>
      </c>
      <c r="AGN47" s="22" t="s">
        <v>46</v>
      </c>
      <c r="AGO47" s="8" t="s">
        <v>433</v>
      </c>
      <c r="AGP47" s="32" t="s">
        <v>92</v>
      </c>
      <c r="AGQ47" s="8" t="s">
        <v>132</v>
      </c>
      <c r="AGR47" s="22" t="s">
        <v>46</v>
      </c>
      <c r="AGS47" s="8" t="s">
        <v>433</v>
      </c>
      <c r="AGT47" s="32" t="s">
        <v>92</v>
      </c>
      <c r="AGU47" s="8" t="s">
        <v>132</v>
      </c>
      <c r="AGV47" s="22" t="s">
        <v>46</v>
      </c>
      <c r="AGW47" s="8" t="s">
        <v>433</v>
      </c>
      <c r="AGX47" s="32" t="s">
        <v>92</v>
      </c>
      <c r="AGY47" s="8" t="s">
        <v>132</v>
      </c>
      <c r="AGZ47" s="22" t="s">
        <v>46</v>
      </c>
      <c r="AHA47" s="8" t="s">
        <v>433</v>
      </c>
      <c r="AHB47" s="32" t="s">
        <v>92</v>
      </c>
      <c r="AHC47" s="8" t="s">
        <v>132</v>
      </c>
      <c r="AHD47" s="22" t="s">
        <v>46</v>
      </c>
      <c r="AHE47" s="8" t="s">
        <v>433</v>
      </c>
      <c r="AHF47" s="32" t="s">
        <v>92</v>
      </c>
      <c r="AHG47" s="8" t="s">
        <v>132</v>
      </c>
      <c r="AHH47" s="22" t="s">
        <v>46</v>
      </c>
      <c r="AHI47" s="8" t="s">
        <v>433</v>
      </c>
      <c r="AHJ47" s="32" t="s">
        <v>92</v>
      </c>
      <c r="AHK47" s="8" t="s">
        <v>132</v>
      </c>
      <c r="AHL47" s="22" t="s">
        <v>46</v>
      </c>
      <c r="AHM47" s="8" t="s">
        <v>433</v>
      </c>
      <c r="AHN47" s="32" t="s">
        <v>92</v>
      </c>
      <c r="AHO47" s="8" t="s">
        <v>132</v>
      </c>
      <c r="AHP47" s="22" t="s">
        <v>46</v>
      </c>
      <c r="AHQ47" s="8" t="s">
        <v>433</v>
      </c>
      <c r="AHR47" s="32" t="s">
        <v>92</v>
      </c>
      <c r="AHS47" s="8" t="s">
        <v>132</v>
      </c>
      <c r="AHT47" s="22" t="s">
        <v>46</v>
      </c>
      <c r="AHU47" s="8" t="s">
        <v>433</v>
      </c>
      <c r="AHV47" s="32" t="s">
        <v>92</v>
      </c>
      <c r="AHW47" s="8" t="s">
        <v>132</v>
      </c>
      <c r="AHX47" s="22" t="s">
        <v>46</v>
      </c>
      <c r="AHY47" s="8" t="s">
        <v>433</v>
      </c>
      <c r="AHZ47" s="32" t="s">
        <v>92</v>
      </c>
      <c r="AIA47" s="8" t="s">
        <v>132</v>
      </c>
      <c r="AIB47" s="22" t="s">
        <v>46</v>
      </c>
      <c r="AIC47" s="8" t="s">
        <v>433</v>
      </c>
      <c r="AID47" s="32" t="s">
        <v>92</v>
      </c>
      <c r="AIE47" s="8" t="s">
        <v>132</v>
      </c>
      <c r="AIF47" s="22" t="s">
        <v>46</v>
      </c>
      <c r="AIG47" s="8" t="s">
        <v>433</v>
      </c>
      <c r="AIH47" s="32" t="s">
        <v>92</v>
      </c>
      <c r="AII47" s="8" t="s">
        <v>132</v>
      </c>
      <c r="AIJ47" s="22" t="s">
        <v>46</v>
      </c>
      <c r="AIK47" s="8" t="s">
        <v>433</v>
      </c>
      <c r="AIL47" s="32" t="s">
        <v>92</v>
      </c>
      <c r="AIM47" s="8" t="s">
        <v>132</v>
      </c>
      <c r="AIN47" s="22" t="s">
        <v>46</v>
      </c>
      <c r="AIO47" s="8" t="s">
        <v>433</v>
      </c>
      <c r="AIP47" s="32" t="s">
        <v>92</v>
      </c>
      <c r="AIQ47" s="8" t="s">
        <v>132</v>
      </c>
      <c r="AIR47" s="22" t="s">
        <v>46</v>
      </c>
      <c r="AIS47" s="8" t="s">
        <v>433</v>
      </c>
      <c r="AIT47" s="32" t="s">
        <v>92</v>
      </c>
      <c r="AIU47" s="8" t="s">
        <v>132</v>
      </c>
      <c r="AIV47" s="22" t="s">
        <v>46</v>
      </c>
      <c r="AIW47" s="8" t="s">
        <v>433</v>
      </c>
      <c r="AIX47" s="32" t="s">
        <v>92</v>
      </c>
      <c r="AIY47" s="8" t="s">
        <v>132</v>
      </c>
      <c r="AIZ47" s="22" t="s">
        <v>46</v>
      </c>
      <c r="AJA47" s="8" t="s">
        <v>433</v>
      </c>
      <c r="AJB47" s="32" t="s">
        <v>92</v>
      </c>
      <c r="AJC47" s="8" t="s">
        <v>132</v>
      </c>
      <c r="AJD47" s="22" t="s">
        <v>46</v>
      </c>
      <c r="AJE47" s="8" t="s">
        <v>433</v>
      </c>
      <c r="AJF47" s="32" t="s">
        <v>92</v>
      </c>
      <c r="AJG47" s="8" t="s">
        <v>132</v>
      </c>
      <c r="AJH47" s="22" t="s">
        <v>46</v>
      </c>
      <c r="AJI47" s="8" t="s">
        <v>433</v>
      </c>
      <c r="AJJ47" s="32" t="s">
        <v>92</v>
      </c>
      <c r="AJK47" s="8" t="s">
        <v>132</v>
      </c>
      <c r="AJL47" s="22" t="s">
        <v>46</v>
      </c>
      <c r="AJM47" s="8" t="s">
        <v>433</v>
      </c>
      <c r="AJN47" s="32" t="s">
        <v>92</v>
      </c>
      <c r="AJO47" s="8" t="s">
        <v>132</v>
      </c>
      <c r="AJP47" s="22" t="s">
        <v>46</v>
      </c>
      <c r="AJQ47" s="8" t="s">
        <v>433</v>
      </c>
      <c r="AJR47" s="32" t="s">
        <v>92</v>
      </c>
      <c r="AJS47" s="8" t="s">
        <v>132</v>
      </c>
      <c r="AJT47" s="22" t="s">
        <v>46</v>
      </c>
      <c r="AJU47" s="8" t="s">
        <v>433</v>
      </c>
      <c r="AJV47" s="32" t="s">
        <v>92</v>
      </c>
      <c r="AJW47" s="8" t="s">
        <v>132</v>
      </c>
      <c r="AJX47" s="22" t="s">
        <v>46</v>
      </c>
      <c r="AJY47" s="8" t="s">
        <v>433</v>
      </c>
      <c r="AJZ47" s="32" t="s">
        <v>92</v>
      </c>
      <c r="AKA47" s="8" t="s">
        <v>132</v>
      </c>
      <c r="AKB47" s="22" t="s">
        <v>46</v>
      </c>
      <c r="AKC47" s="8" t="s">
        <v>433</v>
      </c>
      <c r="AKD47" s="32" t="s">
        <v>92</v>
      </c>
      <c r="AKE47" s="8" t="s">
        <v>132</v>
      </c>
      <c r="AKF47" s="22" t="s">
        <v>46</v>
      </c>
      <c r="AKG47" s="8" t="s">
        <v>433</v>
      </c>
      <c r="AKH47" s="32" t="s">
        <v>92</v>
      </c>
      <c r="AKI47" s="8" t="s">
        <v>132</v>
      </c>
      <c r="AKJ47" s="22" t="s">
        <v>46</v>
      </c>
      <c r="AKK47" s="8" t="s">
        <v>433</v>
      </c>
      <c r="AKL47" s="32" t="s">
        <v>92</v>
      </c>
      <c r="AKM47" s="8" t="s">
        <v>132</v>
      </c>
      <c r="AKN47" s="22" t="s">
        <v>46</v>
      </c>
      <c r="AKO47" s="8" t="s">
        <v>433</v>
      </c>
      <c r="AKP47" s="32" t="s">
        <v>92</v>
      </c>
      <c r="AKQ47" s="8" t="s">
        <v>132</v>
      </c>
      <c r="AKR47" s="22" t="s">
        <v>46</v>
      </c>
      <c r="AKS47" s="8" t="s">
        <v>433</v>
      </c>
      <c r="AKT47" s="32" t="s">
        <v>92</v>
      </c>
      <c r="AKU47" s="8" t="s">
        <v>132</v>
      </c>
      <c r="AKV47" s="22" t="s">
        <v>46</v>
      </c>
      <c r="AKW47" s="8" t="s">
        <v>433</v>
      </c>
      <c r="AKX47" s="32" t="s">
        <v>92</v>
      </c>
      <c r="AKY47" s="8" t="s">
        <v>132</v>
      </c>
      <c r="AKZ47" s="22" t="s">
        <v>46</v>
      </c>
      <c r="ALA47" s="8" t="s">
        <v>433</v>
      </c>
      <c r="ALB47" s="32" t="s">
        <v>92</v>
      </c>
      <c r="ALC47" s="8" t="s">
        <v>132</v>
      </c>
      <c r="ALD47" s="22" t="s">
        <v>46</v>
      </c>
      <c r="ALE47" s="8" t="s">
        <v>433</v>
      </c>
      <c r="ALF47" s="32" t="s">
        <v>92</v>
      </c>
      <c r="ALG47" s="8" t="s">
        <v>132</v>
      </c>
      <c r="ALH47" s="22" t="s">
        <v>46</v>
      </c>
      <c r="ALI47" s="8" t="s">
        <v>433</v>
      </c>
      <c r="ALJ47" s="32" t="s">
        <v>92</v>
      </c>
      <c r="ALK47" s="8" t="s">
        <v>132</v>
      </c>
      <c r="ALL47" s="22" t="s">
        <v>46</v>
      </c>
      <c r="ALM47" s="8" t="s">
        <v>433</v>
      </c>
      <c r="ALN47" s="32" t="s">
        <v>92</v>
      </c>
      <c r="ALO47" s="8" t="s">
        <v>132</v>
      </c>
      <c r="ALP47" s="22" t="s">
        <v>46</v>
      </c>
      <c r="ALQ47" s="8" t="s">
        <v>433</v>
      </c>
      <c r="ALR47" s="32" t="s">
        <v>92</v>
      </c>
      <c r="ALS47" s="8" t="s">
        <v>132</v>
      </c>
      <c r="ALT47" s="22" t="s">
        <v>46</v>
      </c>
      <c r="ALU47" s="8" t="s">
        <v>433</v>
      </c>
      <c r="ALV47" s="32" t="s">
        <v>92</v>
      </c>
      <c r="ALW47" s="8" t="s">
        <v>132</v>
      </c>
      <c r="ALX47" s="22" t="s">
        <v>46</v>
      </c>
      <c r="ALY47" s="8" t="s">
        <v>433</v>
      </c>
      <c r="ALZ47" s="32" t="s">
        <v>92</v>
      </c>
      <c r="AMA47" s="8" t="s">
        <v>132</v>
      </c>
      <c r="AMB47" s="22" t="s">
        <v>46</v>
      </c>
      <c r="AMC47" s="8" t="s">
        <v>433</v>
      </c>
      <c r="AMD47" s="32" t="s">
        <v>92</v>
      </c>
      <c r="AME47" s="8" t="s">
        <v>132</v>
      </c>
      <c r="AMF47" s="22" t="s">
        <v>46</v>
      </c>
      <c r="AMG47" s="8" t="s">
        <v>433</v>
      </c>
      <c r="AMH47" s="32" t="s">
        <v>92</v>
      </c>
      <c r="AMI47" s="8" t="s">
        <v>132</v>
      </c>
      <c r="AMJ47" s="22" t="s">
        <v>46</v>
      </c>
      <c r="AMK47" s="8" t="s">
        <v>433</v>
      </c>
      <c r="AML47" s="32" t="s">
        <v>92</v>
      </c>
      <c r="AMM47" s="8" t="s">
        <v>132</v>
      </c>
      <c r="AMN47" s="22" t="s">
        <v>46</v>
      </c>
      <c r="AMO47" s="8" t="s">
        <v>433</v>
      </c>
      <c r="AMP47" s="32" t="s">
        <v>92</v>
      </c>
      <c r="AMQ47" s="8" t="s">
        <v>132</v>
      </c>
      <c r="AMR47" s="22" t="s">
        <v>46</v>
      </c>
      <c r="AMS47" s="8" t="s">
        <v>433</v>
      </c>
      <c r="AMT47" s="32" t="s">
        <v>92</v>
      </c>
      <c r="AMU47" s="8" t="s">
        <v>132</v>
      </c>
      <c r="AMV47" s="22" t="s">
        <v>46</v>
      </c>
      <c r="AMW47" s="8" t="s">
        <v>433</v>
      </c>
      <c r="AMX47" s="32" t="s">
        <v>92</v>
      </c>
      <c r="AMY47" s="8" t="s">
        <v>132</v>
      </c>
      <c r="AMZ47" s="22" t="s">
        <v>46</v>
      </c>
      <c r="ANA47" s="8" t="s">
        <v>433</v>
      </c>
      <c r="ANB47" s="32" t="s">
        <v>92</v>
      </c>
      <c r="ANC47" s="8" t="s">
        <v>132</v>
      </c>
      <c r="AND47" s="22" t="s">
        <v>46</v>
      </c>
      <c r="ANE47" s="8" t="s">
        <v>433</v>
      </c>
      <c r="ANF47" s="32" t="s">
        <v>92</v>
      </c>
      <c r="ANG47" s="8" t="s">
        <v>132</v>
      </c>
      <c r="ANH47" s="22" t="s">
        <v>46</v>
      </c>
      <c r="ANI47" s="8" t="s">
        <v>433</v>
      </c>
      <c r="ANJ47" s="32" t="s">
        <v>92</v>
      </c>
      <c r="ANK47" s="8" t="s">
        <v>132</v>
      </c>
      <c r="ANL47" s="22" t="s">
        <v>46</v>
      </c>
      <c r="ANM47" s="8" t="s">
        <v>433</v>
      </c>
      <c r="ANN47" s="32" t="s">
        <v>92</v>
      </c>
      <c r="ANO47" s="8" t="s">
        <v>132</v>
      </c>
      <c r="ANP47" s="22" t="s">
        <v>46</v>
      </c>
      <c r="ANQ47" s="8" t="s">
        <v>433</v>
      </c>
      <c r="ANR47" s="32" t="s">
        <v>92</v>
      </c>
      <c r="ANS47" s="8" t="s">
        <v>132</v>
      </c>
      <c r="ANT47" s="22" t="s">
        <v>46</v>
      </c>
      <c r="ANU47" s="8" t="s">
        <v>433</v>
      </c>
      <c r="ANV47" s="32" t="s">
        <v>92</v>
      </c>
      <c r="ANW47" s="8" t="s">
        <v>132</v>
      </c>
      <c r="ANX47" s="22" t="s">
        <v>46</v>
      </c>
      <c r="ANY47" s="8" t="s">
        <v>433</v>
      </c>
      <c r="ANZ47" s="32" t="s">
        <v>92</v>
      </c>
      <c r="AOA47" s="8" t="s">
        <v>132</v>
      </c>
      <c r="AOB47" s="22" t="s">
        <v>46</v>
      </c>
      <c r="AOC47" s="8" t="s">
        <v>433</v>
      </c>
      <c r="AOD47" s="32" t="s">
        <v>92</v>
      </c>
      <c r="AOE47" s="8" t="s">
        <v>132</v>
      </c>
      <c r="AOF47" s="22" t="s">
        <v>46</v>
      </c>
      <c r="AOG47" s="8" t="s">
        <v>433</v>
      </c>
      <c r="AOH47" s="32" t="s">
        <v>92</v>
      </c>
      <c r="AOI47" s="8" t="s">
        <v>132</v>
      </c>
      <c r="AOJ47" s="22" t="s">
        <v>46</v>
      </c>
      <c r="AOK47" s="8" t="s">
        <v>433</v>
      </c>
      <c r="AOL47" s="32" t="s">
        <v>92</v>
      </c>
      <c r="AOM47" s="8" t="s">
        <v>132</v>
      </c>
      <c r="AON47" s="22" t="s">
        <v>46</v>
      </c>
      <c r="AOO47" s="8" t="s">
        <v>433</v>
      </c>
      <c r="AOP47" s="32" t="s">
        <v>92</v>
      </c>
      <c r="AOQ47" s="8" t="s">
        <v>132</v>
      </c>
      <c r="AOR47" s="22" t="s">
        <v>46</v>
      </c>
      <c r="AOS47" s="8" t="s">
        <v>433</v>
      </c>
      <c r="AOT47" s="32" t="s">
        <v>92</v>
      </c>
      <c r="AOU47" s="8" t="s">
        <v>132</v>
      </c>
      <c r="AOV47" s="22" t="s">
        <v>46</v>
      </c>
      <c r="AOW47" s="8" t="s">
        <v>433</v>
      </c>
      <c r="AOX47" s="32" t="s">
        <v>92</v>
      </c>
      <c r="AOY47" s="8" t="s">
        <v>132</v>
      </c>
      <c r="AOZ47" s="22" t="s">
        <v>46</v>
      </c>
      <c r="APA47" s="8" t="s">
        <v>433</v>
      </c>
      <c r="APB47" s="32" t="s">
        <v>92</v>
      </c>
      <c r="APC47" s="8" t="s">
        <v>132</v>
      </c>
      <c r="APD47" s="22" t="s">
        <v>46</v>
      </c>
      <c r="APE47" s="8" t="s">
        <v>433</v>
      </c>
      <c r="APF47" s="32" t="s">
        <v>92</v>
      </c>
      <c r="APG47" s="8" t="s">
        <v>132</v>
      </c>
      <c r="APH47" s="22" t="s">
        <v>46</v>
      </c>
      <c r="API47" s="8" t="s">
        <v>433</v>
      </c>
      <c r="APJ47" s="32" t="s">
        <v>92</v>
      </c>
      <c r="APK47" s="8" t="s">
        <v>132</v>
      </c>
      <c r="APL47" s="22" t="s">
        <v>46</v>
      </c>
      <c r="APM47" s="8" t="s">
        <v>433</v>
      </c>
      <c r="APN47" s="32" t="s">
        <v>92</v>
      </c>
      <c r="APO47" s="8" t="s">
        <v>132</v>
      </c>
      <c r="APP47" s="22" t="s">
        <v>46</v>
      </c>
      <c r="APQ47" s="8" t="s">
        <v>433</v>
      </c>
      <c r="APR47" s="32" t="s">
        <v>92</v>
      </c>
      <c r="APS47" s="8" t="s">
        <v>132</v>
      </c>
      <c r="APT47" s="22" t="s">
        <v>46</v>
      </c>
      <c r="APU47" s="8" t="s">
        <v>433</v>
      </c>
      <c r="APV47" s="32" t="s">
        <v>92</v>
      </c>
      <c r="APW47" s="8" t="s">
        <v>132</v>
      </c>
      <c r="APX47" s="22" t="s">
        <v>46</v>
      </c>
      <c r="APY47" s="8" t="s">
        <v>433</v>
      </c>
      <c r="APZ47" s="32" t="s">
        <v>92</v>
      </c>
      <c r="AQA47" s="8" t="s">
        <v>132</v>
      </c>
      <c r="AQB47" s="22" t="s">
        <v>46</v>
      </c>
      <c r="AQC47" s="8" t="s">
        <v>433</v>
      </c>
      <c r="AQD47" s="32" t="s">
        <v>92</v>
      </c>
      <c r="AQE47" s="8" t="s">
        <v>132</v>
      </c>
      <c r="AQF47" s="22" t="s">
        <v>46</v>
      </c>
      <c r="AQG47" s="8" t="s">
        <v>433</v>
      </c>
      <c r="AQH47" s="32" t="s">
        <v>92</v>
      </c>
      <c r="AQI47" s="8" t="s">
        <v>132</v>
      </c>
      <c r="AQJ47" s="22" t="s">
        <v>46</v>
      </c>
      <c r="AQK47" s="8" t="s">
        <v>433</v>
      </c>
      <c r="AQL47" s="32" t="s">
        <v>92</v>
      </c>
      <c r="AQM47" s="8" t="s">
        <v>132</v>
      </c>
      <c r="AQN47" s="22" t="s">
        <v>46</v>
      </c>
      <c r="AQO47" s="8" t="s">
        <v>433</v>
      </c>
      <c r="AQP47" s="32" t="s">
        <v>92</v>
      </c>
      <c r="AQQ47" s="8" t="s">
        <v>132</v>
      </c>
      <c r="AQR47" s="22" t="s">
        <v>46</v>
      </c>
      <c r="AQS47" s="8" t="s">
        <v>433</v>
      </c>
      <c r="AQT47" s="32" t="s">
        <v>92</v>
      </c>
      <c r="AQU47" s="8" t="s">
        <v>132</v>
      </c>
      <c r="AQV47" s="22" t="s">
        <v>46</v>
      </c>
      <c r="AQW47" s="8" t="s">
        <v>433</v>
      </c>
      <c r="AQX47" s="32" t="s">
        <v>92</v>
      </c>
      <c r="AQY47" s="8" t="s">
        <v>132</v>
      </c>
      <c r="AQZ47" s="22" t="s">
        <v>46</v>
      </c>
      <c r="ARA47" s="8" t="s">
        <v>433</v>
      </c>
      <c r="ARB47" s="32" t="s">
        <v>92</v>
      </c>
      <c r="ARC47" s="8" t="s">
        <v>132</v>
      </c>
      <c r="ARD47" s="22" t="s">
        <v>46</v>
      </c>
      <c r="ARE47" s="8" t="s">
        <v>433</v>
      </c>
      <c r="ARF47" s="32" t="s">
        <v>92</v>
      </c>
      <c r="ARG47" s="8" t="s">
        <v>132</v>
      </c>
      <c r="ARH47" s="22" t="s">
        <v>46</v>
      </c>
      <c r="ARI47" s="8" t="s">
        <v>433</v>
      </c>
      <c r="ARJ47" s="32" t="s">
        <v>92</v>
      </c>
      <c r="ARK47" s="8" t="s">
        <v>132</v>
      </c>
      <c r="ARL47" s="22" t="s">
        <v>46</v>
      </c>
      <c r="ARM47" s="8" t="s">
        <v>433</v>
      </c>
      <c r="ARN47" s="32" t="s">
        <v>92</v>
      </c>
      <c r="ARO47" s="8" t="s">
        <v>132</v>
      </c>
      <c r="ARP47" s="22" t="s">
        <v>46</v>
      </c>
      <c r="ARQ47" s="8" t="s">
        <v>433</v>
      </c>
      <c r="ARR47" s="32" t="s">
        <v>92</v>
      </c>
      <c r="ARS47" s="8" t="s">
        <v>132</v>
      </c>
      <c r="ART47" s="22" t="s">
        <v>46</v>
      </c>
      <c r="ARU47" s="8" t="s">
        <v>433</v>
      </c>
      <c r="ARV47" s="32" t="s">
        <v>92</v>
      </c>
      <c r="ARW47" s="8" t="s">
        <v>132</v>
      </c>
      <c r="ARX47" s="22" t="s">
        <v>46</v>
      </c>
      <c r="ARY47" s="8" t="s">
        <v>433</v>
      </c>
      <c r="ARZ47" s="32" t="s">
        <v>92</v>
      </c>
      <c r="ASA47" s="8" t="s">
        <v>132</v>
      </c>
      <c r="ASB47" s="22" t="s">
        <v>46</v>
      </c>
      <c r="ASC47" s="8" t="s">
        <v>433</v>
      </c>
      <c r="ASD47" s="32" t="s">
        <v>92</v>
      </c>
      <c r="ASE47" s="8" t="s">
        <v>132</v>
      </c>
      <c r="ASF47" s="22" t="s">
        <v>46</v>
      </c>
      <c r="ASG47" s="8" t="s">
        <v>433</v>
      </c>
      <c r="ASH47" s="32" t="s">
        <v>92</v>
      </c>
      <c r="ASI47" s="8" t="s">
        <v>132</v>
      </c>
      <c r="ASJ47" s="22" t="s">
        <v>46</v>
      </c>
      <c r="ASK47" s="8" t="s">
        <v>433</v>
      </c>
      <c r="ASL47" s="32" t="s">
        <v>92</v>
      </c>
      <c r="ASM47" s="8" t="s">
        <v>132</v>
      </c>
      <c r="ASN47" s="22" t="s">
        <v>46</v>
      </c>
      <c r="ASO47" s="8" t="s">
        <v>433</v>
      </c>
      <c r="ASP47" s="32" t="s">
        <v>92</v>
      </c>
      <c r="ASQ47" s="8" t="s">
        <v>132</v>
      </c>
      <c r="ASR47" s="22" t="s">
        <v>46</v>
      </c>
      <c r="ASS47" s="8" t="s">
        <v>433</v>
      </c>
      <c r="AST47" s="32" t="s">
        <v>92</v>
      </c>
      <c r="ASU47" s="8" t="s">
        <v>132</v>
      </c>
      <c r="ASV47" s="22" t="s">
        <v>46</v>
      </c>
      <c r="ASW47" s="8" t="s">
        <v>433</v>
      </c>
      <c r="ASX47" s="32" t="s">
        <v>92</v>
      </c>
      <c r="ASY47" s="8" t="s">
        <v>132</v>
      </c>
      <c r="ASZ47" s="22" t="s">
        <v>46</v>
      </c>
      <c r="ATA47" s="8" t="s">
        <v>433</v>
      </c>
      <c r="ATB47" s="32" t="s">
        <v>92</v>
      </c>
      <c r="ATC47" s="8" t="s">
        <v>132</v>
      </c>
      <c r="ATD47" s="22" t="s">
        <v>46</v>
      </c>
      <c r="ATE47" s="8" t="s">
        <v>433</v>
      </c>
      <c r="ATF47" s="32" t="s">
        <v>92</v>
      </c>
      <c r="ATG47" s="8" t="s">
        <v>132</v>
      </c>
      <c r="ATH47" s="22" t="s">
        <v>46</v>
      </c>
      <c r="ATI47" s="8" t="s">
        <v>433</v>
      </c>
      <c r="ATJ47" s="32" t="s">
        <v>92</v>
      </c>
      <c r="ATK47" s="8" t="s">
        <v>132</v>
      </c>
      <c r="ATL47" s="22" t="s">
        <v>46</v>
      </c>
      <c r="ATM47" s="8" t="s">
        <v>433</v>
      </c>
      <c r="ATN47" s="32" t="s">
        <v>92</v>
      </c>
      <c r="ATO47" s="8" t="s">
        <v>132</v>
      </c>
      <c r="ATP47" s="22" t="s">
        <v>46</v>
      </c>
      <c r="ATQ47" s="8" t="s">
        <v>433</v>
      </c>
      <c r="ATR47" s="32" t="s">
        <v>92</v>
      </c>
      <c r="ATS47" s="8" t="s">
        <v>132</v>
      </c>
      <c r="ATT47" s="22" t="s">
        <v>46</v>
      </c>
      <c r="ATU47" s="8" t="s">
        <v>433</v>
      </c>
      <c r="ATV47" s="32" t="s">
        <v>92</v>
      </c>
      <c r="ATW47" s="8" t="s">
        <v>132</v>
      </c>
      <c r="ATX47" s="22" t="s">
        <v>46</v>
      </c>
      <c r="ATY47" s="8" t="s">
        <v>433</v>
      </c>
      <c r="ATZ47" s="32" t="s">
        <v>92</v>
      </c>
      <c r="AUA47" s="8" t="s">
        <v>132</v>
      </c>
      <c r="AUB47" s="22" t="s">
        <v>46</v>
      </c>
      <c r="AUC47" s="8" t="s">
        <v>433</v>
      </c>
      <c r="AUD47" s="32" t="s">
        <v>92</v>
      </c>
      <c r="AUE47" s="8" t="s">
        <v>132</v>
      </c>
      <c r="AUF47" s="22" t="s">
        <v>46</v>
      </c>
      <c r="AUG47" s="8" t="s">
        <v>433</v>
      </c>
      <c r="AUH47" s="32" t="s">
        <v>92</v>
      </c>
      <c r="AUI47" s="8" t="s">
        <v>132</v>
      </c>
      <c r="AUJ47" s="22" t="s">
        <v>46</v>
      </c>
      <c r="AUK47" s="8" t="s">
        <v>433</v>
      </c>
      <c r="AUL47" s="32" t="s">
        <v>92</v>
      </c>
      <c r="AUM47" s="8" t="s">
        <v>132</v>
      </c>
      <c r="AUN47" s="22" t="s">
        <v>46</v>
      </c>
      <c r="AUO47" s="8" t="s">
        <v>433</v>
      </c>
      <c r="AUP47" s="32" t="s">
        <v>92</v>
      </c>
      <c r="AUQ47" s="8" t="s">
        <v>132</v>
      </c>
      <c r="AUR47" s="22" t="s">
        <v>46</v>
      </c>
      <c r="AUS47" s="8" t="s">
        <v>433</v>
      </c>
      <c r="AUT47" s="32" t="s">
        <v>92</v>
      </c>
      <c r="AUU47" s="8" t="s">
        <v>132</v>
      </c>
      <c r="AUV47" s="22" t="s">
        <v>46</v>
      </c>
      <c r="AUW47" s="8" t="s">
        <v>433</v>
      </c>
      <c r="AUX47" s="32" t="s">
        <v>92</v>
      </c>
      <c r="AUY47" s="8" t="s">
        <v>132</v>
      </c>
      <c r="AUZ47" s="22" t="s">
        <v>46</v>
      </c>
      <c r="AVA47" s="8" t="s">
        <v>433</v>
      </c>
      <c r="AVB47" s="32" t="s">
        <v>92</v>
      </c>
      <c r="AVC47" s="8" t="s">
        <v>132</v>
      </c>
      <c r="AVD47" s="22" t="s">
        <v>46</v>
      </c>
      <c r="AVE47" s="8" t="s">
        <v>433</v>
      </c>
      <c r="AVF47" s="32" t="s">
        <v>92</v>
      </c>
      <c r="AVG47" s="8" t="s">
        <v>132</v>
      </c>
      <c r="AVH47" s="22" t="s">
        <v>46</v>
      </c>
      <c r="AVI47" s="8" t="s">
        <v>433</v>
      </c>
      <c r="AVJ47" s="32" t="s">
        <v>92</v>
      </c>
      <c r="AVK47" s="8" t="s">
        <v>132</v>
      </c>
      <c r="AVL47" s="22" t="s">
        <v>46</v>
      </c>
      <c r="AVM47" s="8" t="s">
        <v>433</v>
      </c>
      <c r="AVN47" s="32" t="s">
        <v>92</v>
      </c>
      <c r="AVO47" s="8" t="s">
        <v>132</v>
      </c>
      <c r="AVP47" s="22" t="s">
        <v>46</v>
      </c>
      <c r="AVQ47" s="8" t="s">
        <v>433</v>
      </c>
      <c r="AVR47" s="32" t="s">
        <v>92</v>
      </c>
      <c r="AVS47" s="8" t="s">
        <v>132</v>
      </c>
      <c r="AVT47" s="22" t="s">
        <v>46</v>
      </c>
      <c r="AVU47" s="8" t="s">
        <v>433</v>
      </c>
      <c r="AVV47" s="32" t="s">
        <v>92</v>
      </c>
      <c r="AVW47" s="8" t="s">
        <v>132</v>
      </c>
      <c r="AVX47" s="22" t="s">
        <v>46</v>
      </c>
      <c r="AVY47" s="8" t="s">
        <v>433</v>
      </c>
      <c r="AVZ47" s="32" t="s">
        <v>92</v>
      </c>
      <c r="AWA47" s="8" t="s">
        <v>132</v>
      </c>
      <c r="AWB47" s="22" t="s">
        <v>46</v>
      </c>
      <c r="AWC47" s="8" t="s">
        <v>433</v>
      </c>
      <c r="AWD47" s="32" t="s">
        <v>92</v>
      </c>
      <c r="AWE47" s="8" t="s">
        <v>132</v>
      </c>
      <c r="AWF47" s="22" t="s">
        <v>46</v>
      </c>
      <c r="AWG47" s="8" t="s">
        <v>433</v>
      </c>
      <c r="AWH47" s="32" t="s">
        <v>92</v>
      </c>
      <c r="AWI47" s="8" t="s">
        <v>132</v>
      </c>
      <c r="AWJ47" s="22" t="s">
        <v>46</v>
      </c>
      <c r="AWK47" s="8" t="s">
        <v>433</v>
      </c>
      <c r="AWL47" s="32" t="s">
        <v>92</v>
      </c>
      <c r="AWM47" s="8" t="s">
        <v>132</v>
      </c>
      <c r="AWN47" s="22" t="s">
        <v>46</v>
      </c>
      <c r="AWO47" s="8" t="s">
        <v>433</v>
      </c>
      <c r="AWP47" s="32" t="s">
        <v>92</v>
      </c>
      <c r="AWQ47" s="8" t="s">
        <v>132</v>
      </c>
      <c r="AWR47" s="22" t="s">
        <v>46</v>
      </c>
      <c r="AWS47" s="8" t="s">
        <v>433</v>
      </c>
      <c r="AWT47" s="32" t="s">
        <v>92</v>
      </c>
      <c r="AWU47" s="8" t="s">
        <v>132</v>
      </c>
      <c r="AWV47" s="22" t="s">
        <v>46</v>
      </c>
      <c r="AWW47" s="8" t="s">
        <v>433</v>
      </c>
      <c r="AWX47" s="32" t="s">
        <v>92</v>
      </c>
      <c r="AWY47" s="8" t="s">
        <v>132</v>
      </c>
      <c r="AWZ47" s="22" t="s">
        <v>46</v>
      </c>
      <c r="AXA47" s="8" t="s">
        <v>433</v>
      </c>
      <c r="AXB47" s="32" t="s">
        <v>92</v>
      </c>
      <c r="AXC47" s="8" t="s">
        <v>132</v>
      </c>
      <c r="AXD47" s="22" t="s">
        <v>46</v>
      </c>
      <c r="AXE47" s="8" t="s">
        <v>433</v>
      </c>
      <c r="AXF47" s="32" t="s">
        <v>92</v>
      </c>
      <c r="AXG47" s="8" t="s">
        <v>132</v>
      </c>
      <c r="AXH47" s="22" t="s">
        <v>46</v>
      </c>
      <c r="AXI47" s="8" t="s">
        <v>433</v>
      </c>
      <c r="AXJ47" s="32" t="s">
        <v>92</v>
      </c>
      <c r="AXK47" s="8" t="s">
        <v>132</v>
      </c>
      <c r="AXL47" s="22" t="s">
        <v>46</v>
      </c>
      <c r="AXM47" s="8" t="s">
        <v>433</v>
      </c>
      <c r="AXN47" s="32" t="s">
        <v>92</v>
      </c>
      <c r="AXO47" s="8" t="s">
        <v>132</v>
      </c>
      <c r="AXP47" s="22" t="s">
        <v>46</v>
      </c>
      <c r="AXQ47" s="8" t="s">
        <v>433</v>
      </c>
      <c r="AXR47" s="32" t="s">
        <v>92</v>
      </c>
      <c r="AXS47" s="8" t="s">
        <v>132</v>
      </c>
      <c r="AXT47" s="22" t="s">
        <v>46</v>
      </c>
      <c r="AXU47" s="8" t="s">
        <v>433</v>
      </c>
      <c r="AXV47" s="32" t="s">
        <v>92</v>
      </c>
      <c r="AXW47" s="8" t="s">
        <v>132</v>
      </c>
      <c r="AXX47" s="22" t="s">
        <v>46</v>
      </c>
      <c r="AXY47" s="8" t="s">
        <v>433</v>
      </c>
      <c r="AXZ47" s="32" t="s">
        <v>92</v>
      </c>
      <c r="AYA47" s="8" t="s">
        <v>132</v>
      </c>
      <c r="AYB47" s="22" t="s">
        <v>46</v>
      </c>
      <c r="AYC47" s="8" t="s">
        <v>433</v>
      </c>
      <c r="AYD47" s="32" t="s">
        <v>92</v>
      </c>
      <c r="AYE47" s="8" t="s">
        <v>132</v>
      </c>
      <c r="AYF47" s="22" t="s">
        <v>46</v>
      </c>
      <c r="AYG47" s="8" t="s">
        <v>433</v>
      </c>
      <c r="AYH47" s="32" t="s">
        <v>92</v>
      </c>
      <c r="AYI47" s="8" t="s">
        <v>132</v>
      </c>
      <c r="AYJ47" s="22" t="s">
        <v>46</v>
      </c>
      <c r="AYK47" s="8" t="s">
        <v>433</v>
      </c>
      <c r="AYL47" s="32" t="s">
        <v>92</v>
      </c>
      <c r="AYM47" s="8" t="s">
        <v>132</v>
      </c>
      <c r="AYN47" s="22" t="s">
        <v>46</v>
      </c>
      <c r="AYO47" s="8" t="s">
        <v>433</v>
      </c>
      <c r="AYP47" s="32" t="s">
        <v>92</v>
      </c>
      <c r="AYQ47" s="8" t="s">
        <v>132</v>
      </c>
      <c r="AYR47" s="22" t="s">
        <v>46</v>
      </c>
      <c r="AYS47" s="8" t="s">
        <v>433</v>
      </c>
      <c r="AYT47" s="32" t="s">
        <v>92</v>
      </c>
      <c r="AYU47" s="8" t="s">
        <v>132</v>
      </c>
      <c r="AYV47" s="22" t="s">
        <v>46</v>
      </c>
      <c r="AYW47" s="8" t="s">
        <v>433</v>
      </c>
      <c r="AYX47" s="32" t="s">
        <v>92</v>
      </c>
      <c r="AYY47" s="8" t="s">
        <v>132</v>
      </c>
      <c r="AYZ47" s="22" t="s">
        <v>46</v>
      </c>
      <c r="AZA47" s="8" t="s">
        <v>433</v>
      </c>
      <c r="AZB47" s="32" t="s">
        <v>92</v>
      </c>
      <c r="AZC47" s="8" t="s">
        <v>132</v>
      </c>
      <c r="AZD47" s="22" t="s">
        <v>46</v>
      </c>
      <c r="AZE47" s="8" t="s">
        <v>433</v>
      </c>
      <c r="AZF47" s="32" t="s">
        <v>92</v>
      </c>
      <c r="AZG47" s="8" t="s">
        <v>132</v>
      </c>
      <c r="AZH47" s="22" t="s">
        <v>46</v>
      </c>
      <c r="AZI47" s="8" t="s">
        <v>433</v>
      </c>
      <c r="AZJ47" s="32" t="s">
        <v>92</v>
      </c>
      <c r="AZK47" s="8" t="s">
        <v>132</v>
      </c>
      <c r="AZL47" s="22" t="s">
        <v>46</v>
      </c>
      <c r="AZM47" s="8" t="s">
        <v>433</v>
      </c>
      <c r="AZN47" s="32" t="s">
        <v>92</v>
      </c>
      <c r="AZO47" s="8" t="s">
        <v>132</v>
      </c>
      <c r="AZP47" s="22" t="s">
        <v>46</v>
      </c>
      <c r="AZQ47" s="8" t="s">
        <v>433</v>
      </c>
      <c r="AZR47" s="32" t="s">
        <v>92</v>
      </c>
      <c r="AZS47" s="8" t="s">
        <v>132</v>
      </c>
      <c r="AZT47" s="22" t="s">
        <v>46</v>
      </c>
      <c r="AZU47" s="8" t="s">
        <v>433</v>
      </c>
      <c r="AZV47" s="32" t="s">
        <v>92</v>
      </c>
      <c r="AZW47" s="8" t="s">
        <v>132</v>
      </c>
      <c r="AZX47" s="22" t="s">
        <v>46</v>
      </c>
      <c r="AZY47" s="8" t="s">
        <v>433</v>
      </c>
      <c r="AZZ47" s="32" t="s">
        <v>92</v>
      </c>
      <c r="BAA47" s="8" t="s">
        <v>132</v>
      </c>
      <c r="BAB47" s="22" t="s">
        <v>46</v>
      </c>
      <c r="BAC47" s="8" t="s">
        <v>433</v>
      </c>
      <c r="BAD47" s="32" t="s">
        <v>92</v>
      </c>
      <c r="BAE47" s="8" t="s">
        <v>132</v>
      </c>
      <c r="BAF47" s="22" t="s">
        <v>46</v>
      </c>
      <c r="BAG47" s="8" t="s">
        <v>433</v>
      </c>
      <c r="BAH47" s="32" t="s">
        <v>92</v>
      </c>
      <c r="BAI47" s="8" t="s">
        <v>132</v>
      </c>
      <c r="BAJ47" s="22" t="s">
        <v>46</v>
      </c>
      <c r="BAK47" s="8" t="s">
        <v>433</v>
      </c>
      <c r="BAL47" s="32" t="s">
        <v>92</v>
      </c>
      <c r="BAM47" s="8" t="s">
        <v>132</v>
      </c>
      <c r="BAN47" s="22" t="s">
        <v>46</v>
      </c>
      <c r="BAO47" s="8" t="s">
        <v>433</v>
      </c>
      <c r="BAP47" s="32" t="s">
        <v>92</v>
      </c>
      <c r="BAQ47" s="8" t="s">
        <v>132</v>
      </c>
      <c r="BAR47" s="22" t="s">
        <v>46</v>
      </c>
      <c r="BAS47" s="8" t="s">
        <v>433</v>
      </c>
      <c r="BAT47" s="32" t="s">
        <v>92</v>
      </c>
      <c r="BAU47" s="8" t="s">
        <v>132</v>
      </c>
      <c r="BAV47" s="22" t="s">
        <v>46</v>
      </c>
      <c r="BAW47" s="8" t="s">
        <v>433</v>
      </c>
      <c r="BAX47" s="32" t="s">
        <v>92</v>
      </c>
      <c r="BAY47" s="8" t="s">
        <v>132</v>
      </c>
      <c r="BAZ47" s="22" t="s">
        <v>46</v>
      </c>
      <c r="BBA47" s="8" t="s">
        <v>433</v>
      </c>
      <c r="BBB47" s="32" t="s">
        <v>92</v>
      </c>
      <c r="BBC47" s="8" t="s">
        <v>132</v>
      </c>
      <c r="BBD47" s="22" t="s">
        <v>46</v>
      </c>
      <c r="BBE47" s="8" t="s">
        <v>433</v>
      </c>
      <c r="BBF47" s="32" t="s">
        <v>92</v>
      </c>
      <c r="BBG47" s="8" t="s">
        <v>132</v>
      </c>
      <c r="BBH47" s="22" t="s">
        <v>46</v>
      </c>
      <c r="BBI47" s="8" t="s">
        <v>433</v>
      </c>
      <c r="BBJ47" s="32" t="s">
        <v>92</v>
      </c>
      <c r="BBK47" s="8" t="s">
        <v>132</v>
      </c>
      <c r="BBL47" s="22" t="s">
        <v>46</v>
      </c>
      <c r="BBM47" s="8" t="s">
        <v>433</v>
      </c>
      <c r="BBN47" s="32" t="s">
        <v>92</v>
      </c>
      <c r="BBO47" s="8" t="s">
        <v>132</v>
      </c>
      <c r="BBP47" s="22" t="s">
        <v>46</v>
      </c>
      <c r="BBQ47" s="8" t="s">
        <v>433</v>
      </c>
      <c r="BBR47" s="32" t="s">
        <v>92</v>
      </c>
      <c r="BBS47" s="8" t="s">
        <v>132</v>
      </c>
      <c r="BBT47" s="22" t="s">
        <v>46</v>
      </c>
      <c r="BBU47" s="8" t="s">
        <v>433</v>
      </c>
      <c r="BBV47" s="32" t="s">
        <v>92</v>
      </c>
      <c r="BBW47" s="8" t="s">
        <v>132</v>
      </c>
      <c r="BBX47" s="22" t="s">
        <v>46</v>
      </c>
      <c r="BBY47" s="8" t="s">
        <v>433</v>
      </c>
      <c r="BBZ47" s="32" t="s">
        <v>92</v>
      </c>
      <c r="BCA47" s="8" t="s">
        <v>132</v>
      </c>
      <c r="BCB47" s="22" t="s">
        <v>46</v>
      </c>
      <c r="BCC47" s="8" t="s">
        <v>433</v>
      </c>
      <c r="BCD47" s="32" t="s">
        <v>92</v>
      </c>
      <c r="BCE47" s="8" t="s">
        <v>132</v>
      </c>
      <c r="BCF47" s="22" t="s">
        <v>46</v>
      </c>
      <c r="BCG47" s="8" t="s">
        <v>433</v>
      </c>
      <c r="BCH47" s="32" t="s">
        <v>92</v>
      </c>
      <c r="BCI47" s="8" t="s">
        <v>132</v>
      </c>
      <c r="BCJ47" s="22" t="s">
        <v>46</v>
      </c>
      <c r="BCK47" s="8" t="s">
        <v>433</v>
      </c>
      <c r="BCL47" s="32" t="s">
        <v>92</v>
      </c>
      <c r="BCM47" s="8" t="s">
        <v>132</v>
      </c>
      <c r="BCN47" s="22" t="s">
        <v>46</v>
      </c>
      <c r="BCO47" s="8" t="s">
        <v>433</v>
      </c>
      <c r="BCP47" s="32" t="s">
        <v>92</v>
      </c>
      <c r="BCQ47" s="8" t="s">
        <v>132</v>
      </c>
      <c r="BCR47" s="22" t="s">
        <v>46</v>
      </c>
      <c r="BCS47" s="8" t="s">
        <v>433</v>
      </c>
      <c r="BCT47" s="32" t="s">
        <v>92</v>
      </c>
      <c r="BCU47" s="8" t="s">
        <v>132</v>
      </c>
      <c r="BCV47" s="22" t="s">
        <v>46</v>
      </c>
      <c r="BCW47" s="8" t="s">
        <v>433</v>
      </c>
      <c r="BCX47" s="32" t="s">
        <v>92</v>
      </c>
      <c r="BCY47" s="8" t="s">
        <v>132</v>
      </c>
      <c r="BCZ47" s="22" t="s">
        <v>46</v>
      </c>
      <c r="BDA47" s="8" t="s">
        <v>433</v>
      </c>
      <c r="BDB47" s="32" t="s">
        <v>92</v>
      </c>
      <c r="BDC47" s="8" t="s">
        <v>132</v>
      </c>
      <c r="BDD47" s="22" t="s">
        <v>46</v>
      </c>
      <c r="BDE47" s="8" t="s">
        <v>433</v>
      </c>
      <c r="BDF47" s="32" t="s">
        <v>92</v>
      </c>
      <c r="BDG47" s="8" t="s">
        <v>132</v>
      </c>
      <c r="BDH47" s="22" t="s">
        <v>46</v>
      </c>
      <c r="BDI47" s="8" t="s">
        <v>433</v>
      </c>
      <c r="BDJ47" s="32" t="s">
        <v>92</v>
      </c>
      <c r="BDK47" s="8" t="s">
        <v>132</v>
      </c>
      <c r="BDL47" s="22" t="s">
        <v>46</v>
      </c>
      <c r="BDM47" s="8" t="s">
        <v>433</v>
      </c>
      <c r="BDN47" s="32" t="s">
        <v>92</v>
      </c>
      <c r="BDO47" s="8" t="s">
        <v>132</v>
      </c>
      <c r="BDP47" s="22" t="s">
        <v>46</v>
      </c>
      <c r="BDQ47" s="8" t="s">
        <v>433</v>
      </c>
      <c r="BDR47" s="32" t="s">
        <v>92</v>
      </c>
      <c r="BDS47" s="8" t="s">
        <v>132</v>
      </c>
      <c r="BDT47" s="22" t="s">
        <v>46</v>
      </c>
      <c r="BDU47" s="8" t="s">
        <v>433</v>
      </c>
      <c r="BDV47" s="32" t="s">
        <v>92</v>
      </c>
      <c r="BDW47" s="8" t="s">
        <v>132</v>
      </c>
      <c r="BDX47" s="22" t="s">
        <v>46</v>
      </c>
      <c r="BDY47" s="8" t="s">
        <v>433</v>
      </c>
      <c r="BDZ47" s="32" t="s">
        <v>92</v>
      </c>
      <c r="BEA47" s="8" t="s">
        <v>132</v>
      </c>
      <c r="BEB47" s="22" t="s">
        <v>46</v>
      </c>
      <c r="BEC47" s="8" t="s">
        <v>433</v>
      </c>
      <c r="BED47" s="32" t="s">
        <v>92</v>
      </c>
      <c r="BEE47" s="8" t="s">
        <v>132</v>
      </c>
      <c r="BEF47" s="22" t="s">
        <v>46</v>
      </c>
      <c r="BEG47" s="8" t="s">
        <v>433</v>
      </c>
      <c r="BEH47" s="32" t="s">
        <v>92</v>
      </c>
      <c r="BEI47" s="8" t="s">
        <v>132</v>
      </c>
      <c r="BEJ47" s="22" t="s">
        <v>46</v>
      </c>
      <c r="BEK47" s="8" t="s">
        <v>433</v>
      </c>
      <c r="BEL47" s="32" t="s">
        <v>92</v>
      </c>
      <c r="BEM47" s="8" t="s">
        <v>132</v>
      </c>
      <c r="BEN47" s="22" t="s">
        <v>46</v>
      </c>
      <c r="BEO47" s="8" t="s">
        <v>433</v>
      </c>
      <c r="BEP47" s="32" t="s">
        <v>92</v>
      </c>
      <c r="BEQ47" s="8" t="s">
        <v>132</v>
      </c>
      <c r="BER47" s="22" t="s">
        <v>46</v>
      </c>
      <c r="BES47" s="8" t="s">
        <v>433</v>
      </c>
      <c r="BET47" s="32" t="s">
        <v>92</v>
      </c>
      <c r="BEU47" s="8" t="s">
        <v>132</v>
      </c>
      <c r="BEV47" s="22" t="s">
        <v>46</v>
      </c>
      <c r="BEW47" s="8" t="s">
        <v>433</v>
      </c>
      <c r="BEX47" s="32" t="s">
        <v>92</v>
      </c>
      <c r="BEY47" s="8" t="s">
        <v>132</v>
      </c>
      <c r="BEZ47" s="22" t="s">
        <v>46</v>
      </c>
      <c r="BFA47" s="8" t="s">
        <v>433</v>
      </c>
      <c r="BFB47" s="32" t="s">
        <v>92</v>
      </c>
      <c r="BFC47" s="8" t="s">
        <v>132</v>
      </c>
      <c r="BFD47" s="22" t="s">
        <v>46</v>
      </c>
      <c r="BFE47" s="8" t="s">
        <v>433</v>
      </c>
      <c r="BFF47" s="32" t="s">
        <v>92</v>
      </c>
      <c r="BFG47" s="8" t="s">
        <v>132</v>
      </c>
      <c r="BFH47" s="22" t="s">
        <v>46</v>
      </c>
      <c r="BFI47" s="8" t="s">
        <v>433</v>
      </c>
      <c r="BFJ47" s="32" t="s">
        <v>92</v>
      </c>
      <c r="BFK47" s="8" t="s">
        <v>132</v>
      </c>
      <c r="BFL47" s="22" t="s">
        <v>46</v>
      </c>
      <c r="BFM47" s="8" t="s">
        <v>433</v>
      </c>
      <c r="BFN47" s="32" t="s">
        <v>92</v>
      </c>
      <c r="BFO47" s="8" t="s">
        <v>132</v>
      </c>
      <c r="BFP47" s="22" t="s">
        <v>46</v>
      </c>
      <c r="BFQ47" s="8" t="s">
        <v>433</v>
      </c>
      <c r="BFR47" s="32" t="s">
        <v>92</v>
      </c>
      <c r="BFS47" s="8" t="s">
        <v>132</v>
      </c>
      <c r="BFT47" s="22" t="s">
        <v>46</v>
      </c>
      <c r="BFU47" s="8" t="s">
        <v>433</v>
      </c>
      <c r="BFV47" s="32" t="s">
        <v>92</v>
      </c>
      <c r="BFW47" s="8" t="s">
        <v>132</v>
      </c>
      <c r="BFX47" s="22" t="s">
        <v>46</v>
      </c>
      <c r="BFY47" s="8" t="s">
        <v>433</v>
      </c>
      <c r="BFZ47" s="32" t="s">
        <v>92</v>
      </c>
      <c r="BGA47" s="8" t="s">
        <v>132</v>
      </c>
      <c r="BGB47" s="22" t="s">
        <v>46</v>
      </c>
      <c r="BGC47" s="8" t="s">
        <v>433</v>
      </c>
      <c r="BGD47" s="32" t="s">
        <v>92</v>
      </c>
      <c r="BGE47" s="8" t="s">
        <v>132</v>
      </c>
      <c r="BGF47" s="22" t="s">
        <v>46</v>
      </c>
      <c r="BGG47" s="8" t="s">
        <v>433</v>
      </c>
      <c r="BGH47" s="32" t="s">
        <v>92</v>
      </c>
      <c r="BGI47" s="8" t="s">
        <v>132</v>
      </c>
      <c r="BGJ47" s="22" t="s">
        <v>46</v>
      </c>
      <c r="BGK47" s="8" t="s">
        <v>433</v>
      </c>
      <c r="BGL47" s="32" t="s">
        <v>92</v>
      </c>
      <c r="BGM47" s="8" t="s">
        <v>132</v>
      </c>
      <c r="BGN47" s="22" t="s">
        <v>46</v>
      </c>
      <c r="BGO47" s="8" t="s">
        <v>433</v>
      </c>
      <c r="BGP47" s="32" t="s">
        <v>92</v>
      </c>
      <c r="BGQ47" s="8" t="s">
        <v>132</v>
      </c>
      <c r="BGR47" s="22" t="s">
        <v>46</v>
      </c>
      <c r="BGS47" s="8" t="s">
        <v>433</v>
      </c>
      <c r="BGT47" s="32" t="s">
        <v>92</v>
      </c>
      <c r="BGU47" s="8" t="s">
        <v>132</v>
      </c>
      <c r="BGV47" s="22" t="s">
        <v>46</v>
      </c>
      <c r="BGW47" s="8" t="s">
        <v>433</v>
      </c>
      <c r="BGX47" s="32" t="s">
        <v>92</v>
      </c>
      <c r="BGY47" s="8" t="s">
        <v>132</v>
      </c>
      <c r="BGZ47" s="22" t="s">
        <v>46</v>
      </c>
      <c r="BHA47" s="8" t="s">
        <v>433</v>
      </c>
      <c r="BHB47" s="32" t="s">
        <v>92</v>
      </c>
      <c r="BHC47" s="8" t="s">
        <v>132</v>
      </c>
      <c r="BHD47" s="22" t="s">
        <v>46</v>
      </c>
      <c r="BHE47" s="8" t="s">
        <v>433</v>
      </c>
      <c r="BHF47" s="32" t="s">
        <v>92</v>
      </c>
      <c r="BHG47" s="8" t="s">
        <v>132</v>
      </c>
      <c r="BHH47" s="22" t="s">
        <v>46</v>
      </c>
      <c r="BHI47" s="8" t="s">
        <v>433</v>
      </c>
      <c r="BHJ47" s="32" t="s">
        <v>92</v>
      </c>
      <c r="BHK47" s="8" t="s">
        <v>132</v>
      </c>
      <c r="BHL47" s="22" t="s">
        <v>46</v>
      </c>
      <c r="BHM47" s="8" t="s">
        <v>433</v>
      </c>
      <c r="BHN47" s="32" t="s">
        <v>92</v>
      </c>
      <c r="BHO47" s="8" t="s">
        <v>132</v>
      </c>
      <c r="BHP47" s="22" t="s">
        <v>46</v>
      </c>
      <c r="BHQ47" s="8" t="s">
        <v>433</v>
      </c>
      <c r="BHR47" s="32" t="s">
        <v>92</v>
      </c>
      <c r="BHS47" s="8" t="s">
        <v>132</v>
      </c>
      <c r="BHT47" s="22" t="s">
        <v>46</v>
      </c>
      <c r="BHU47" s="8" t="s">
        <v>433</v>
      </c>
      <c r="BHV47" s="32" t="s">
        <v>92</v>
      </c>
      <c r="BHW47" s="8" t="s">
        <v>132</v>
      </c>
      <c r="BHX47" s="22" t="s">
        <v>46</v>
      </c>
      <c r="BHY47" s="8" t="s">
        <v>433</v>
      </c>
      <c r="BHZ47" s="32" t="s">
        <v>92</v>
      </c>
      <c r="BIA47" s="8" t="s">
        <v>132</v>
      </c>
      <c r="BIB47" s="22" t="s">
        <v>46</v>
      </c>
      <c r="BIC47" s="8" t="s">
        <v>433</v>
      </c>
      <c r="BID47" s="32" t="s">
        <v>92</v>
      </c>
      <c r="BIE47" s="8" t="s">
        <v>132</v>
      </c>
      <c r="BIF47" s="22" t="s">
        <v>46</v>
      </c>
      <c r="BIG47" s="8" t="s">
        <v>433</v>
      </c>
      <c r="BIH47" s="32" t="s">
        <v>92</v>
      </c>
      <c r="BII47" s="8" t="s">
        <v>132</v>
      </c>
      <c r="BIJ47" s="22" t="s">
        <v>46</v>
      </c>
      <c r="BIK47" s="8" t="s">
        <v>433</v>
      </c>
      <c r="BIL47" s="32" t="s">
        <v>92</v>
      </c>
      <c r="BIM47" s="8" t="s">
        <v>132</v>
      </c>
      <c r="BIN47" s="22" t="s">
        <v>46</v>
      </c>
      <c r="BIO47" s="8" t="s">
        <v>433</v>
      </c>
      <c r="BIP47" s="32" t="s">
        <v>92</v>
      </c>
      <c r="BIQ47" s="8" t="s">
        <v>132</v>
      </c>
      <c r="BIR47" s="22" t="s">
        <v>46</v>
      </c>
      <c r="BIS47" s="8" t="s">
        <v>433</v>
      </c>
      <c r="BIT47" s="32" t="s">
        <v>92</v>
      </c>
      <c r="BIU47" s="8" t="s">
        <v>132</v>
      </c>
      <c r="BIV47" s="22" t="s">
        <v>46</v>
      </c>
      <c r="BIW47" s="8" t="s">
        <v>433</v>
      </c>
      <c r="BIX47" s="32" t="s">
        <v>92</v>
      </c>
      <c r="BIY47" s="8" t="s">
        <v>132</v>
      </c>
      <c r="BIZ47" s="22" t="s">
        <v>46</v>
      </c>
      <c r="BJA47" s="8" t="s">
        <v>433</v>
      </c>
      <c r="BJB47" s="32" t="s">
        <v>92</v>
      </c>
      <c r="BJC47" s="8" t="s">
        <v>132</v>
      </c>
      <c r="BJD47" s="22" t="s">
        <v>46</v>
      </c>
      <c r="BJE47" s="8" t="s">
        <v>433</v>
      </c>
      <c r="BJF47" s="32" t="s">
        <v>92</v>
      </c>
      <c r="BJG47" s="8" t="s">
        <v>132</v>
      </c>
      <c r="BJH47" s="22" t="s">
        <v>46</v>
      </c>
      <c r="BJI47" s="8" t="s">
        <v>433</v>
      </c>
      <c r="BJJ47" s="32" t="s">
        <v>92</v>
      </c>
      <c r="BJK47" s="8" t="s">
        <v>132</v>
      </c>
      <c r="BJL47" s="22" t="s">
        <v>46</v>
      </c>
      <c r="BJM47" s="8" t="s">
        <v>433</v>
      </c>
      <c r="BJN47" s="32" t="s">
        <v>92</v>
      </c>
      <c r="BJO47" s="8" t="s">
        <v>132</v>
      </c>
      <c r="BJP47" s="22" t="s">
        <v>46</v>
      </c>
      <c r="BJQ47" s="8" t="s">
        <v>433</v>
      </c>
      <c r="BJR47" s="32" t="s">
        <v>92</v>
      </c>
      <c r="BJS47" s="8" t="s">
        <v>132</v>
      </c>
      <c r="BJT47" s="22" t="s">
        <v>46</v>
      </c>
      <c r="BJU47" s="8" t="s">
        <v>433</v>
      </c>
      <c r="BJV47" s="32" t="s">
        <v>92</v>
      </c>
      <c r="BJW47" s="8" t="s">
        <v>132</v>
      </c>
      <c r="BJX47" s="22" t="s">
        <v>46</v>
      </c>
      <c r="BJY47" s="8" t="s">
        <v>433</v>
      </c>
      <c r="BJZ47" s="32" t="s">
        <v>92</v>
      </c>
      <c r="BKA47" s="8" t="s">
        <v>132</v>
      </c>
      <c r="BKB47" s="22" t="s">
        <v>46</v>
      </c>
      <c r="BKC47" s="8" t="s">
        <v>433</v>
      </c>
      <c r="BKD47" s="32" t="s">
        <v>92</v>
      </c>
      <c r="BKE47" s="8" t="s">
        <v>132</v>
      </c>
      <c r="BKF47" s="22" t="s">
        <v>46</v>
      </c>
      <c r="BKG47" s="8" t="s">
        <v>433</v>
      </c>
      <c r="BKH47" s="32" t="s">
        <v>92</v>
      </c>
      <c r="BKI47" s="8" t="s">
        <v>132</v>
      </c>
      <c r="BKJ47" s="22" t="s">
        <v>46</v>
      </c>
      <c r="BKK47" s="8" t="s">
        <v>433</v>
      </c>
      <c r="BKL47" s="32" t="s">
        <v>92</v>
      </c>
      <c r="BKM47" s="8" t="s">
        <v>132</v>
      </c>
      <c r="BKN47" s="22" t="s">
        <v>46</v>
      </c>
      <c r="BKO47" s="8" t="s">
        <v>433</v>
      </c>
      <c r="BKP47" s="32" t="s">
        <v>92</v>
      </c>
      <c r="BKQ47" s="8" t="s">
        <v>132</v>
      </c>
      <c r="BKR47" s="22" t="s">
        <v>46</v>
      </c>
      <c r="BKS47" s="8" t="s">
        <v>433</v>
      </c>
      <c r="BKT47" s="32" t="s">
        <v>92</v>
      </c>
      <c r="BKU47" s="8" t="s">
        <v>132</v>
      </c>
      <c r="BKV47" s="22" t="s">
        <v>46</v>
      </c>
      <c r="BKW47" s="8" t="s">
        <v>433</v>
      </c>
      <c r="BKX47" s="32" t="s">
        <v>92</v>
      </c>
      <c r="BKY47" s="8" t="s">
        <v>132</v>
      </c>
      <c r="BKZ47" s="22" t="s">
        <v>46</v>
      </c>
      <c r="BLA47" s="8" t="s">
        <v>433</v>
      </c>
      <c r="BLB47" s="32" t="s">
        <v>92</v>
      </c>
      <c r="BLC47" s="8" t="s">
        <v>132</v>
      </c>
      <c r="BLD47" s="22" t="s">
        <v>46</v>
      </c>
      <c r="BLE47" s="8" t="s">
        <v>433</v>
      </c>
      <c r="BLF47" s="32" t="s">
        <v>92</v>
      </c>
      <c r="BLG47" s="8" t="s">
        <v>132</v>
      </c>
      <c r="BLH47" s="22" t="s">
        <v>46</v>
      </c>
      <c r="BLI47" s="8" t="s">
        <v>433</v>
      </c>
      <c r="BLJ47" s="32" t="s">
        <v>92</v>
      </c>
      <c r="BLK47" s="8" t="s">
        <v>132</v>
      </c>
      <c r="BLL47" s="22" t="s">
        <v>46</v>
      </c>
      <c r="BLM47" s="8" t="s">
        <v>433</v>
      </c>
      <c r="BLN47" s="32" t="s">
        <v>92</v>
      </c>
      <c r="BLO47" s="8" t="s">
        <v>132</v>
      </c>
      <c r="BLP47" s="22" t="s">
        <v>46</v>
      </c>
      <c r="BLQ47" s="8" t="s">
        <v>433</v>
      </c>
      <c r="BLR47" s="32" t="s">
        <v>92</v>
      </c>
      <c r="BLS47" s="8" t="s">
        <v>132</v>
      </c>
      <c r="BLT47" s="22" t="s">
        <v>46</v>
      </c>
      <c r="BLU47" s="8" t="s">
        <v>433</v>
      </c>
      <c r="BLV47" s="32" t="s">
        <v>92</v>
      </c>
      <c r="BLW47" s="8" t="s">
        <v>132</v>
      </c>
      <c r="BLX47" s="22" t="s">
        <v>46</v>
      </c>
      <c r="BLY47" s="8" t="s">
        <v>433</v>
      </c>
      <c r="BLZ47" s="32" t="s">
        <v>92</v>
      </c>
      <c r="BMA47" s="8" t="s">
        <v>132</v>
      </c>
      <c r="BMB47" s="22" t="s">
        <v>46</v>
      </c>
      <c r="BMC47" s="8" t="s">
        <v>433</v>
      </c>
      <c r="BMD47" s="32" t="s">
        <v>92</v>
      </c>
      <c r="BME47" s="8" t="s">
        <v>132</v>
      </c>
      <c r="BMF47" s="22" t="s">
        <v>46</v>
      </c>
      <c r="BMG47" s="8" t="s">
        <v>433</v>
      </c>
      <c r="BMH47" s="32" t="s">
        <v>92</v>
      </c>
      <c r="BMI47" s="8" t="s">
        <v>132</v>
      </c>
      <c r="BMJ47" s="22" t="s">
        <v>46</v>
      </c>
      <c r="BMK47" s="8" t="s">
        <v>433</v>
      </c>
      <c r="BML47" s="32" t="s">
        <v>92</v>
      </c>
      <c r="BMM47" s="8" t="s">
        <v>132</v>
      </c>
      <c r="BMN47" s="22" t="s">
        <v>46</v>
      </c>
      <c r="BMO47" s="8" t="s">
        <v>433</v>
      </c>
      <c r="BMP47" s="32" t="s">
        <v>92</v>
      </c>
      <c r="BMQ47" s="8" t="s">
        <v>132</v>
      </c>
      <c r="BMR47" s="22" t="s">
        <v>46</v>
      </c>
      <c r="BMS47" s="8" t="s">
        <v>433</v>
      </c>
      <c r="BMT47" s="32" t="s">
        <v>92</v>
      </c>
      <c r="BMU47" s="8" t="s">
        <v>132</v>
      </c>
      <c r="BMV47" s="22" t="s">
        <v>46</v>
      </c>
      <c r="BMW47" s="8" t="s">
        <v>433</v>
      </c>
      <c r="BMX47" s="32" t="s">
        <v>92</v>
      </c>
      <c r="BMY47" s="8" t="s">
        <v>132</v>
      </c>
      <c r="BMZ47" s="22" t="s">
        <v>46</v>
      </c>
      <c r="BNA47" s="8" t="s">
        <v>433</v>
      </c>
      <c r="BNB47" s="32" t="s">
        <v>92</v>
      </c>
      <c r="BNC47" s="8" t="s">
        <v>132</v>
      </c>
      <c r="BND47" s="22" t="s">
        <v>46</v>
      </c>
      <c r="BNE47" s="8" t="s">
        <v>433</v>
      </c>
      <c r="BNF47" s="32" t="s">
        <v>92</v>
      </c>
      <c r="BNG47" s="8" t="s">
        <v>132</v>
      </c>
      <c r="BNH47" s="22" t="s">
        <v>46</v>
      </c>
      <c r="BNI47" s="8" t="s">
        <v>433</v>
      </c>
      <c r="BNJ47" s="32" t="s">
        <v>92</v>
      </c>
      <c r="BNK47" s="8" t="s">
        <v>132</v>
      </c>
      <c r="BNL47" s="22" t="s">
        <v>46</v>
      </c>
      <c r="BNM47" s="8" t="s">
        <v>433</v>
      </c>
      <c r="BNN47" s="32" t="s">
        <v>92</v>
      </c>
      <c r="BNO47" s="8" t="s">
        <v>132</v>
      </c>
      <c r="BNP47" s="22" t="s">
        <v>46</v>
      </c>
      <c r="BNQ47" s="8" t="s">
        <v>433</v>
      </c>
      <c r="BNR47" s="32" t="s">
        <v>92</v>
      </c>
      <c r="BNS47" s="8" t="s">
        <v>132</v>
      </c>
      <c r="BNT47" s="22" t="s">
        <v>46</v>
      </c>
      <c r="BNU47" s="8" t="s">
        <v>433</v>
      </c>
      <c r="BNV47" s="32" t="s">
        <v>92</v>
      </c>
      <c r="BNW47" s="8" t="s">
        <v>132</v>
      </c>
      <c r="BNX47" s="22" t="s">
        <v>46</v>
      </c>
      <c r="BNY47" s="8" t="s">
        <v>433</v>
      </c>
      <c r="BNZ47" s="32" t="s">
        <v>92</v>
      </c>
      <c r="BOA47" s="8" t="s">
        <v>132</v>
      </c>
      <c r="BOB47" s="22" t="s">
        <v>46</v>
      </c>
      <c r="BOC47" s="8" t="s">
        <v>433</v>
      </c>
      <c r="BOD47" s="32" t="s">
        <v>92</v>
      </c>
      <c r="BOE47" s="8" t="s">
        <v>132</v>
      </c>
      <c r="BOF47" s="22" t="s">
        <v>46</v>
      </c>
      <c r="BOG47" s="8" t="s">
        <v>433</v>
      </c>
      <c r="BOH47" s="32" t="s">
        <v>92</v>
      </c>
      <c r="BOI47" s="8" t="s">
        <v>132</v>
      </c>
      <c r="BOJ47" s="22" t="s">
        <v>46</v>
      </c>
      <c r="BOK47" s="8" t="s">
        <v>433</v>
      </c>
      <c r="BOL47" s="32" t="s">
        <v>92</v>
      </c>
      <c r="BOM47" s="8" t="s">
        <v>132</v>
      </c>
      <c r="BON47" s="22" t="s">
        <v>46</v>
      </c>
      <c r="BOO47" s="8" t="s">
        <v>433</v>
      </c>
      <c r="BOP47" s="32" t="s">
        <v>92</v>
      </c>
      <c r="BOQ47" s="8" t="s">
        <v>132</v>
      </c>
      <c r="BOR47" s="22" t="s">
        <v>46</v>
      </c>
      <c r="BOS47" s="8" t="s">
        <v>433</v>
      </c>
      <c r="BOT47" s="32" t="s">
        <v>92</v>
      </c>
      <c r="BOU47" s="8" t="s">
        <v>132</v>
      </c>
      <c r="BOV47" s="22" t="s">
        <v>46</v>
      </c>
      <c r="BOW47" s="8" t="s">
        <v>433</v>
      </c>
      <c r="BOX47" s="32" t="s">
        <v>92</v>
      </c>
      <c r="BOY47" s="8" t="s">
        <v>132</v>
      </c>
      <c r="BOZ47" s="22" t="s">
        <v>46</v>
      </c>
      <c r="BPA47" s="8" t="s">
        <v>433</v>
      </c>
      <c r="BPB47" s="32" t="s">
        <v>92</v>
      </c>
      <c r="BPC47" s="8" t="s">
        <v>132</v>
      </c>
      <c r="BPD47" s="22" t="s">
        <v>46</v>
      </c>
      <c r="BPE47" s="8" t="s">
        <v>433</v>
      </c>
      <c r="BPF47" s="32" t="s">
        <v>92</v>
      </c>
      <c r="BPG47" s="8" t="s">
        <v>132</v>
      </c>
      <c r="BPH47" s="22" t="s">
        <v>46</v>
      </c>
      <c r="BPI47" s="8" t="s">
        <v>433</v>
      </c>
      <c r="BPJ47" s="32" t="s">
        <v>92</v>
      </c>
      <c r="BPK47" s="8" t="s">
        <v>132</v>
      </c>
      <c r="BPL47" s="22" t="s">
        <v>46</v>
      </c>
      <c r="BPM47" s="8" t="s">
        <v>433</v>
      </c>
      <c r="BPN47" s="32" t="s">
        <v>92</v>
      </c>
      <c r="BPO47" s="8" t="s">
        <v>132</v>
      </c>
      <c r="BPP47" s="22" t="s">
        <v>46</v>
      </c>
      <c r="BPQ47" s="8" t="s">
        <v>433</v>
      </c>
      <c r="BPR47" s="32" t="s">
        <v>92</v>
      </c>
      <c r="BPS47" s="8" t="s">
        <v>132</v>
      </c>
      <c r="BPT47" s="22" t="s">
        <v>46</v>
      </c>
      <c r="BPU47" s="8" t="s">
        <v>433</v>
      </c>
      <c r="BPV47" s="32" t="s">
        <v>92</v>
      </c>
      <c r="BPW47" s="8" t="s">
        <v>132</v>
      </c>
      <c r="BPX47" s="22" t="s">
        <v>46</v>
      </c>
      <c r="BPY47" s="8" t="s">
        <v>433</v>
      </c>
      <c r="BPZ47" s="32" t="s">
        <v>92</v>
      </c>
      <c r="BQA47" s="8" t="s">
        <v>132</v>
      </c>
      <c r="BQB47" s="22" t="s">
        <v>46</v>
      </c>
      <c r="BQC47" s="8" t="s">
        <v>433</v>
      </c>
      <c r="BQD47" s="32" t="s">
        <v>92</v>
      </c>
      <c r="BQE47" s="8" t="s">
        <v>132</v>
      </c>
      <c r="BQF47" s="22" t="s">
        <v>46</v>
      </c>
      <c r="BQG47" s="8" t="s">
        <v>433</v>
      </c>
      <c r="BQH47" s="32" t="s">
        <v>92</v>
      </c>
      <c r="BQI47" s="8" t="s">
        <v>132</v>
      </c>
      <c r="BQJ47" s="22" t="s">
        <v>46</v>
      </c>
      <c r="BQK47" s="8" t="s">
        <v>433</v>
      </c>
      <c r="BQL47" s="32" t="s">
        <v>92</v>
      </c>
      <c r="BQM47" s="8" t="s">
        <v>132</v>
      </c>
      <c r="BQN47" s="22" t="s">
        <v>46</v>
      </c>
      <c r="BQO47" s="8" t="s">
        <v>433</v>
      </c>
      <c r="BQP47" s="32" t="s">
        <v>92</v>
      </c>
      <c r="BQQ47" s="8" t="s">
        <v>132</v>
      </c>
      <c r="BQR47" s="22" t="s">
        <v>46</v>
      </c>
      <c r="BQS47" s="8" t="s">
        <v>433</v>
      </c>
      <c r="BQT47" s="32" t="s">
        <v>92</v>
      </c>
      <c r="BQU47" s="8" t="s">
        <v>132</v>
      </c>
      <c r="BQV47" s="22" t="s">
        <v>46</v>
      </c>
      <c r="BQW47" s="8" t="s">
        <v>433</v>
      </c>
      <c r="BQX47" s="32" t="s">
        <v>92</v>
      </c>
      <c r="BQY47" s="8" t="s">
        <v>132</v>
      </c>
      <c r="BQZ47" s="22" t="s">
        <v>46</v>
      </c>
      <c r="BRA47" s="8" t="s">
        <v>433</v>
      </c>
      <c r="BRB47" s="32" t="s">
        <v>92</v>
      </c>
      <c r="BRC47" s="8" t="s">
        <v>132</v>
      </c>
      <c r="BRD47" s="22" t="s">
        <v>46</v>
      </c>
      <c r="BRE47" s="8" t="s">
        <v>433</v>
      </c>
      <c r="BRF47" s="32" t="s">
        <v>92</v>
      </c>
      <c r="BRG47" s="8" t="s">
        <v>132</v>
      </c>
      <c r="BRH47" s="22" t="s">
        <v>46</v>
      </c>
      <c r="BRI47" s="8" t="s">
        <v>433</v>
      </c>
      <c r="BRJ47" s="32" t="s">
        <v>92</v>
      </c>
      <c r="BRK47" s="8" t="s">
        <v>132</v>
      </c>
      <c r="BRL47" s="22" t="s">
        <v>46</v>
      </c>
      <c r="BRM47" s="8" t="s">
        <v>433</v>
      </c>
      <c r="BRN47" s="32" t="s">
        <v>92</v>
      </c>
      <c r="BRO47" s="8" t="s">
        <v>132</v>
      </c>
      <c r="BRP47" s="22" t="s">
        <v>46</v>
      </c>
      <c r="BRQ47" s="8" t="s">
        <v>433</v>
      </c>
      <c r="BRR47" s="32" t="s">
        <v>92</v>
      </c>
      <c r="BRS47" s="8" t="s">
        <v>132</v>
      </c>
      <c r="BRT47" s="22" t="s">
        <v>46</v>
      </c>
      <c r="BRU47" s="8" t="s">
        <v>433</v>
      </c>
      <c r="BRV47" s="32" t="s">
        <v>92</v>
      </c>
      <c r="BRW47" s="8" t="s">
        <v>132</v>
      </c>
      <c r="BRX47" s="22" t="s">
        <v>46</v>
      </c>
      <c r="BRY47" s="8" t="s">
        <v>433</v>
      </c>
      <c r="BRZ47" s="32" t="s">
        <v>92</v>
      </c>
      <c r="BSA47" s="8" t="s">
        <v>132</v>
      </c>
      <c r="BSB47" s="22" t="s">
        <v>46</v>
      </c>
      <c r="BSC47" s="8" t="s">
        <v>433</v>
      </c>
      <c r="BSD47" s="32" t="s">
        <v>92</v>
      </c>
      <c r="BSE47" s="8" t="s">
        <v>132</v>
      </c>
      <c r="BSF47" s="22" t="s">
        <v>46</v>
      </c>
      <c r="BSG47" s="8" t="s">
        <v>433</v>
      </c>
      <c r="BSH47" s="32" t="s">
        <v>92</v>
      </c>
      <c r="BSI47" s="8" t="s">
        <v>132</v>
      </c>
      <c r="BSJ47" s="22" t="s">
        <v>46</v>
      </c>
      <c r="BSK47" s="8" t="s">
        <v>433</v>
      </c>
      <c r="BSL47" s="32" t="s">
        <v>92</v>
      </c>
      <c r="BSM47" s="8" t="s">
        <v>132</v>
      </c>
      <c r="BSN47" s="22" t="s">
        <v>46</v>
      </c>
      <c r="BSO47" s="8" t="s">
        <v>433</v>
      </c>
      <c r="BSP47" s="32" t="s">
        <v>92</v>
      </c>
      <c r="BSQ47" s="8" t="s">
        <v>132</v>
      </c>
      <c r="BSR47" s="22" t="s">
        <v>46</v>
      </c>
      <c r="BSS47" s="8" t="s">
        <v>433</v>
      </c>
      <c r="BST47" s="32" t="s">
        <v>92</v>
      </c>
      <c r="BSU47" s="8" t="s">
        <v>132</v>
      </c>
      <c r="BSV47" s="22" t="s">
        <v>46</v>
      </c>
      <c r="BSW47" s="8" t="s">
        <v>433</v>
      </c>
      <c r="BSX47" s="32" t="s">
        <v>92</v>
      </c>
      <c r="BSY47" s="8" t="s">
        <v>132</v>
      </c>
      <c r="BSZ47" s="22" t="s">
        <v>46</v>
      </c>
      <c r="BTA47" s="8" t="s">
        <v>433</v>
      </c>
      <c r="BTB47" s="32" t="s">
        <v>92</v>
      </c>
      <c r="BTC47" s="8" t="s">
        <v>132</v>
      </c>
      <c r="BTD47" s="22" t="s">
        <v>46</v>
      </c>
      <c r="BTE47" s="8" t="s">
        <v>433</v>
      </c>
      <c r="BTF47" s="32" t="s">
        <v>92</v>
      </c>
      <c r="BTG47" s="8" t="s">
        <v>132</v>
      </c>
      <c r="BTH47" s="22" t="s">
        <v>46</v>
      </c>
      <c r="BTI47" s="8" t="s">
        <v>433</v>
      </c>
      <c r="BTJ47" s="32" t="s">
        <v>92</v>
      </c>
      <c r="BTK47" s="8" t="s">
        <v>132</v>
      </c>
      <c r="BTL47" s="22" t="s">
        <v>46</v>
      </c>
      <c r="BTM47" s="8" t="s">
        <v>433</v>
      </c>
      <c r="BTN47" s="32" t="s">
        <v>92</v>
      </c>
      <c r="BTO47" s="8" t="s">
        <v>132</v>
      </c>
      <c r="BTP47" s="22" t="s">
        <v>46</v>
      </c>
      <c r="BTQ47" s="8" t="s">
        <v>433</v>
      </c>
      <c r="BTR47" s="32" t="s">
        <v>92</v>
      </c>
      <c r="BTS47" s="8" t="s">
        <v>132</v>
      </c>
      <c r="BTT47" s="22" t="s">
        <v>46</v>
      </c>
      <c r="BTU47" s="8" t="s">
        <v>433</v>
      </c>
      <c r="BTV47" s="32" t="s">
        <v>92</v>
      </c>
      <c r="BTW47" s="8" t="s">
        <v>132</v>
      </c>
      <c r="BTX47" s="22" t="s">
        <v>46</v>
      </c>
      <c r="BTY47" s="8" t="s">
        <v>433</v>
      </c>
      <c r="BTZ47" s="32" t="s">
        <v>92</v>
      </c>
      <c r="BUA47" s="8" t="s">
        <v>132</v>
      </c>
      <c r="BUB47" s="22" t="s">
        <v>46</v>
      </c>
      <c r="BUC47" s="8" t="s">
        <v>433</v>
      </c>
      <c r="BUD47" s="32" t="s">
        <v>92</v>
      </c>
      <c r="BUE47" s="8" t="s">
        <v>132</v>
      </c>
      <c r="BUF47" s="22" t="s">
        <v>46</v>
      </c>
      <c r="BUG47" s="8" t="s">
        <v>433</v>
      </c>
      <c r="BUH47" s="32" t="s">
        <v>92</v>
      </c>
      <c r="BUI47" s="8" t="s">
        <v>132</v>
      </c>
      <c r="BUJ47" s="22" t="s">
        <v>46</v>
      </c>
      <c r="BUK47" s="8" t="s">
        <v>433</v>
      </c>
      <c r="BUL47" s="32" t="s">
        <v>92</v>
      </c>
      <c r="BUM47" s="8" t="s">
        <v>132</v>
      </c>
      <c r="BUN47" s="22" t="s">
        <v>46</v>
      </c>
      <c r="BUO47" s="8" t="s">
        <v>433</v>
      </c>
      <c r="BUP47" s="32" t="s">
        <v>92</v>
      </c>
      <c r="BUQ47" s="8" t="s">
        <v>132</v>
      </c>
      <c r="BUR47" s="22" t="s">
        <v>46</v>
      </c>
      <c r="BUS47" s="8" t="s">
        <v>433</v>
      </c>
      <c r="BUT47" s="32" t="s">
        <v>92</v>
      </c>
      <c r="BUU47" s="8" t="s">
        <v>132</v>
      </c>
      <c r="BUV47" s="22" t="s">
        <v>46</v>
      </c>
      <c r="BUW47" s="8" t="s">
        <v>433</v>
      </c>
      <c r="BUX47" s="32" t="s">
        <v>92</v>
      </c>
      <c r="BUY47" s="8" t="s">
        <v>132</v>
      </c>
      <c r="BUZ47" s="22" t="s">
        <v>46</v>
      </c>
      <c r="BVA47" s="8" t="s">
        <v>433</v>
      </c>
      <c r="BVB47" s="32" t="s">
        <v>92</v>
      </c>
      <c r="BVC47" s="8" t="s">
        <v>132</v>
      </c>
      <c r="BVD47" s="22" t="s">
        <v>46</v>
      </c>
      <c r="BVE47" s="8" t="s">
        <v>433</v>
      </c>
      <c r="BVF47" s="32" t="s">
        <v>92</v>
      </c>
      <c r="BVG47" s="8" t="s">
        <v>132</v>
      </c>
      <c r="BVH47" s="22" t="s">
        <v>46</v>
      </c>
      <c r="BVI47" s="8" t="s">
        <v>433</v>
      </c>
      <c r="BVJ47" s="32" t="s">
        <v>92</v>
      </c>
      <c r="BVK47" s="8" t="s">
        <v>132</v>
      </c>
      <c r="BVL47" s="22" t="s">
        <v>46</v>
      </c>
      <c r="BVM47" s="8" t="s">
        <v>433</v>
      </c>
      <c r="BVN47" s="32" t="s">
        <v>92</v>
      </c>
      <c r="BVO47" s="8" t="s">
        <v>132</v>
      </c>
      <c r="BVP47" s="22" t="s">
        <v>46</v>
      </c>
      <c r="BVQ47" s="8" t="s">
        <v>433</v>
      </c>
      <c r="BVR47" s="32" t="s">
        <v>92</v>
      </c>
      <c r="BVS47" s="8" t="s">
        <v>132</v>
      </c>
      <c r="BVT47" s="22" t="s">
        <v>46</v>
      </c>
      <c r="BVU47" s="8" t="s">
        <v>433</v>
      </c>
      <c r="BVV47" s="32" t="s">
        <v>92</v>
      </c>
      <c r="BVW47" s="8" t="s">
        <v>132</v>
      </c>
      <c r="BVX47" s="22" t="s">
        <v>46</v>
      </c>
      <c r="BVY47" s="8" t="s">
        <v>433</v>
      </c>
      <c r="BVZ47" s="32" t="s">
        <v>92</v>
      </c>
      <c r="BWA47" s="8" t="s">
        <v>132</v>
      </c>
      <c r="BWB47" s="22" t="s">
        <v>46</v>
      </c>
      <c r="BWC47" s="8" t="s">
        <v>433</v>
      </c>
      <c r="BWD47" s="32" t="s">
        <v>92</v>
      </c>
      <c r="BWE47" s="8" t="s">
        <v>132</v>
      </c>
      <c r="BWF47" s="22" t="s">
        <v>46</v>
      </c>
      <c r="BWG47" s="8" t="s">
        <v>433</v>
      </c>
      <c r="BWH47" s="32" t="s">
        <v>92</v>
      </c>
      <c r="BWI47" s="8" t="s">
        <v>132</v>
      </c>
      <c r="BWJ47" s="22" t="s">
        <v>46</v>
      </c>
      <c r="BWK47" s="8" t="s">
        <v>433</v>
      </c>
      <c r="BWL47" s="32" t="s">
        <v>92</v>
      </c>
      <c r="BWM47" s="8" t="s">
        <v>132</v>
      </c>
      <c r="BWN47" s="22" t="s">
        <v>46</v>
      </c>
      <c r="BWO47" s="8" t="s">
        <v>433</v>
      </c>
      <c r="BWP47" s="32" t="s">
        <v>92</v>
      </c>
      <c r="BWQ47" s="8" t="s">
        <v>132</v>
      </c>
      <c r="BWR47" s="22" t="s">
        <v>46</v>
      </c>
      <c r="BWS47" s="8" t="s">
        <v>433</v>
      </c>
      <c r="BWT47" s="32" t="s">
        <v>92</v>
      </c>
      <c r="BWU47" s="8" t="s">
        <v>132</v>
      </c>
      <c r="BWV47" s="22" t="s">
        <v>46</v>
      </c>
      <c r="BWW47" s="8" t="s">
        <v>433</v>
      </c>
      <c r="BWX47" s="32" t="s">
        <v>92</v>
      </c>
      <c r="BWY47" s="8" t="s">
        <v>132</v>
      </c>
      <c r="BWZ47" s="22" t="s">
        <v>46</v>
      </c>
      <c r="BXA47" s="8" t="s">
        <v>433</v>
      </c>
      <c r="BXB47" s="32" t="s">
        <v>92</v>
      </c>
      <c r="BXC47" s="8" t="s">
        <v>132</v>
      </c>
      <c r="BXD47" s="22" t="s">
        <v>46</v>
      </c>
      <c r="BXE47" s="8" t="s">
        <v>433</v>
      </c>
      <c r="BXF47" s="32" t="s">
        <v>92</v>
      </c>
      <c r="BXG47" s="8" t="s">
        <v>132</v>
      </c>
      <c r="BXH47" s="22" t="s">
        <v>46</v>
      </c>
      <c r="BXI47" s="8" t="s">
        <v>433</v>
      </c>
      <c r="BXJ47" s="32" t="s">
        <v>92</v>
      </c>
      <c r="BXK47" s="8" t="s">
        <v>132</v>
      </c>
      <c r="BXL47" s="22" t="s">
        <v>46</v>
      </c>
      <c r="BXM47" s="8" t="s">
        <v>433</v>
      </c>
      <c r="BXN47" s="32" t="s">
        <v>92</v>
      </c>
      <c r="BXO47" s="8" t="s">
        <v>132</v>
      </c>
      <c r="BXP47" s="22" t="s">
        <v>46</v>
      </c>
      <c r="BXQ47" s="8" t="s">
        <v>433</v>
      </c>
      <c r="BXR47" s="32" t="s">
        <v>92</v>
      </c>
      <c r="BXS47" s="8" t="s">
        <v>132</v>
      </c>
      <c r="BXT47" s="22" t="s">
        <v>46</v>
      </c>
      <c r="BXU47" s="8" t="s">
        <v>433</v>
      </c>
      <c r="BXV47" s="32" t="s">
        <v>92</v>
      </c>
      <c r="BXW47" s="8" t="s">
        <v>132</v>
      </c>
      <c r="BXX47" s="22" t="s">
        <v>46</v>
      </c>
      <c r="BXY47" s="8" t="s">
        <v>433</v>
      </c>
      <c r="BXZ47" s="32" t="s">
        <v>92</v>
      </c>
      <c r="BYA47" s="8" t="s">
        <v>132</v>
      </c>
      <c r="BYB47" s="22" t="s">
        <v>46</v>
      </c>
      <c r="BYC47" s="8" t="s">
        <v>433</v>
      </c>
      <c r="BYD47" s="32" t="s">
        <v>92</v>
      </c>
      <c r="BYE47" s="8" t="s">
        <v>132</v>
      </c>
      <c r="BYF47" s="22" t="s">
        <v>46</v>
      </c>
      <c r="BYG47" s="8" t="s">
        <v>433</v>
      </c>
      <c r="BYH47" s="32" t="s">
        <v>92</v>
      </c>
      <c r="BYI47" s="8" t="s">
        <v>132</v>
      </c>
      <c r="BYJ47" s="22" t="s">
        <v>46</v>
      </c>
      <c r="BYK47" s="8" t="s">
        <v>433</v>
      </c>
      <c r="BYL47" s="32" t="s">
        <v>92</v>
      </c>
      <c r="BYM47" s="8" t="s">
        <v>132</v>
      </c>
      <c r="BYN47" s="22" t="s">
        <v>46</v>
      </c>
      <c r="BYO47" s="8" t="s">
        <v>433</v>
      </c>
      <c r="BYP47" s="32" t="s">
        <v>92</v>
      </c>
      <c r="BYQ47" s="8" t="s">
        <v>132</v>
      </c>
      <c r="BYR47" s="22" t="s">
        <v>46</v>
      </c>
      <c r="BYS47" s="8" t="s">
        <v>433</v>
      </c>
      <c r="BYT47" s="32" t="s">
        <v>92</v>
      </c>
      <c r="BYU47" s="8" t="s">
        <v>132</v>
      </c>
      <c r="BYV47" s="22" t="s">
        <v>46</v>
      </c>
      <c r="BYW47" s="8" t="s">
        <v>433</v>
      </c>
      <c r="BYX47" s="32" t="s">
        <v>92</v>
      </c>
      <c r="BYY47" s="8" t="s">
        <v>132</v>
      </c>
      <c r="BYZ47" s="22" t="s">
        <v>46</v>
      </c>
      <c r="BZA47" s="8" t="s">
        <v>433</v>
      </c>
      <c r="BZB47" s="32" t="s">
        <v>92</v>
      </c>
      <c r="BZC47" s="8" t="s">
        <v>132</v>
      </c>
      <c r="BZD47" s="22" t="s">
        <v>46</v>
      </c>
      <c r="BZE47" s="8" t="s">
        <v>433</v>
      </c>
      <c r="BZF47" s="32" t="s">
        <v>92</v>
      </c>
      <c r="BZG47" s="8" t="s">
        <v>132</v>
      </c>
      <c r="BZH47" s="22" t="s">
        <v>46</v>
      </c>
      <c r="BZI47" s="8" t="s">
        <v>433</v>
      </c>
      <c r="BZJ47" s="32" t="s">
        <v>92</v>
      </c>
      <c r="BZK47" s="8" t="s">
        <v>132</v>
      </c>
      <c r="BZL47" s="22" t="s">
        <v>46</v>
      </c>
      <c r="BZM47" s="8" t="s">
        <v>433</v>
      </c>
      <c r="BZN47" s="32" t="s">
        <v>92</v>
      </c>
      <c r="BZO47" s="8" t="s">
        <v>132</v>
      </c>
      <c r="BZP47" s="22" t="s">
        <v>46</v>
      </c>
      <c r="BZQ47" s="8" t="s">
        <v>433</v>
      </c>
      <c r="BZR47" s="32" t="s">
        <v>92</v>
      </c>
      <c r="BZS47" s="8" t="s">
        <v>132</v>
      </c>
      <c r="BZT47" s="22" t="s">
        <v>46</v>
      </c>
      <c r="BZU47" s="8" t="s">
        <v>433</v>
      </c>
      <c r="BZV47" s="32" t="s">
        <v>92</v>
      </c>
      <c r="BZW47" s="8" t="s">
        <v>132</v>
      </c>
      <c r="BZX47" s="22" t="s">
        <v>46</v>
      </c>
      <c r="BZY47" s="8" t="s">
        <v>433</v>
      </c>
      <c r="BZZ47" s="32" t="s">
        <v>92</v>
      </c>
      <c r="CAA47" s="8" t="s">
        <v>132</v>
      </c>
      <c r="CAB47" s="22" t="s">
        <v>46</v>
      </c>
      <c r="CAC47" s="8" t="s">
        <v>433</v>
      </c>
      <c r="CAD47" s="32" t="s">
        <v>92</v>
      </c>
      <c r="CAE47" s="8" t="s">
        <v>132</v>
      </c>
      <c r="CAF47" s="22" t="s">
        <v>46</v>
      </c>
      <c r="CAG47" s="8" t="s">
        <v>433</v>
      </c>
      <c r="CAH47" s="32" t="s">
        <v>92</v>
      </c>
      <c r="CAI47" s="8" t="s">
        <v>132</v>
      </c>
      <c r="CAJ47" s="22" t="s">
        <v>46</v>
      </c>
      <c r="CAK47" s="8" t="s">
        <v>433</v>
      </c>
      <c r="CAL47" s="32" t="s">
        <v>92</v>
      </c>
      <c r="CAM47" s="8" t="s">
        <v>132</v>
      </c>
      <c r="CAN47" s="22" t="s">
        <v>46</v>
      </c>
      <c r="CAO47" s="8" t="s">
        <v>433</v>
      </c>
      <c r="CAP47" s="32" t="s">
        <v>92</v>
      </c>
      <c r="CAQ47" s="8" t="s">
        <v>132</v>
      </c>
      <c r="CAR47" s="22" t="s">
        <v>46</v>
      </c>
      <c r="CAS47" s="8" t="s">
        <v>433</v>
      </c>
      <c r="CAT47" s="32" t="s">
        <v>92</v>
      </c>
      <c r="CAU47" s="8" t="s">
        <v>132</v>
      </c>
      <c r="CAV47" s="22" t="s">
        <v>46</v>
      </c>
      <c r="CAW47" s="8" t="s">
        <v>433</v>
      </c>
      <c r="CAX47" s="32" t="s">
        <v>92</v>
      </c>
      <c r="CAY47" s="8" t="s">
        <v>132</v>
      </c>
      <c r="CAZ47" s="22" t="s">
        <v>46</v>
      </c>
      <c r="CBA47" s="8" t="s">
        <v>433</v>
      </c>
      <c r="CBB47" s="32" t="s">
        <v>92</v>
      </c>
      <c r="CBC47" s="8" t="s">
        <v>132</v>
      </c>
      <c r="CBD47" s="22" t="s">
        <v>46</v>
      </c>
      <c r="CBE47" s="8" t="s">
        <v>433</v>
      </c>
      <c r="CBF47" s="32" t="s">
        <v>92</v>
      </c>
      <c r="CBG47" s="8" t="s">
        <v>132</v>
      </c>
      <c r="CBH47" s="22" t="s">
        <v>46</v>
      </c>
      <c r="CBI47" s="8" t="s">
        <v>433</v>
      </c>
      <c r="CBJ47" s="32" t="s">
        <v>92</v>
      </c>
      <c r="CBK47" s="8" t="s">
        <v>132</v>
      </c>
      <c r="CBL47" s="22" t="s">
        <v>46</v>
      </c>
      <c r="CBM47" s="8" t="s">
        <v>433</v>
      </c>
      <c r="CBN47" s="32" t="s">
        <v>92</v>
      </c>
      <c r="CBO47" s="8" t="s">
        <v>132</v>
      </c>
      <c r="CBP47" s="22" t="s">
        <v>46</v>
      </c>
      <c r="CBQ47" s="8" t="s">
        <v>433</v>
      </c>
      <c r="CBR47" s="32" t="s">
        <v>92</v>
      </c>
      <c r="CBS47" s="8" t="s">
        <v>132</v>
      </c>
      <c r="CBT47" s="22" t="s">
        <v>46</v>
      </c>
      <c r="CBU47" s="8" t="s">
        <v>433</v>
      </c>
      <c r="CBV47" s="32" t="s">
        <v>92</v>
      </c>
      <c r="CBW47" s="8" t="s">
        <v>132</v>
      </c>
      <c r="CBX47" s="22" t="s">
        <v>46</v>
      </c>
      <c r="CBY47" s="8" t="s">
        <v>433</v>
      </c>
      <c r="CBZ47" s="32" t="s">
        <v>92</v>
      </c>
      <c r="CCA47" s="8" t="s">
        <v>132</v>
      </c>
      <c r="CCB47" s="22" t="s">
        <v>46</v>
      </c>
      <c r="CCC47" s="8" t="s">
        <v>433</v>
      </c>
      <c r="CCD47" s="32" t="s">
        <v>92</v>
      </c>
      <c r="CCE47" s="8" t="s">
        <v>132</v>
      </c>
      <c r="CCF47" s="22" t="s">
        <v>46</v>
      </c>
      <c r="CCG47" s="8" t="s">
        <v>433</v>
      </c>
      <c r="CCH47" s="32" t="s">
        <v>92</v>
      </c>
      <c r="CCI47" s="8" t="s">
        <v>132</v>
      </c>
      <c r="CCJ47" s="22" t="s">
        <v>46</v>
      </c>
      <c r="CCK47" s="8" t="s">
        <v>433</v>
      </c>
      <c r="CCL47" s="32" t="s">
        <v>92</v>
      </c>
      <c r="CCM47" s="8" t="s">
        <v>132</v>
      </c>
      <c r="CCN47" s="22" t="s">
        <v>46</v>
      </c>
      <c r="CCO47" s="8" t="s">
        <v>433</v>
      </c>
      <c r="CCP47" s="32" t="s">
        <v>92</v>
      </c>
      <c r="CCQ47" s="8" t="s">
        <v>132</v>
      </c>
      <c r="CCR47" s="22" t="s">
        <v>46</v>
      </c>
      <c r="CCS47" s="8" t="s">
        <v>433</v>
      </c>
      <c r="CCT47" s="32" t="s">
        <v>92</v>
      </c>
      <c r="CCU47" s="8" t="s">
        <v>132</v>
      </c>
      <c r="CCV47" s="22" t="s">
        <v>46</v>
      </c>
      <c r="CCW47" s="8" t="s">
        <v>433</v>
      </c>
      <c r="CCX47" s="32" t="s">
        <v>92</v>
      </c>
      <c r="CCY47" s="8" t="s">
        <v>132</v>
      </c>
      <c r="CCZ47" s="22" t="s">
        <v>46</v>
      </c>
      <c r="CDA47" s="8" t="s">
        <v>433</v>
      </c>
      <c r="CDB47" s="32" t="s">
        <v>92</v>
      </c>
      <c r="CDC47" s="8" t="s">
        <v>132</v>
      </c>
      <c r="CDD47" s="22" t="s">
        <v>46</v>
      </c>
      <c r="CDE47" s="8" t="s">
        <v>433</v>
      </c>
      <c r="CDF47" s="32" t="s">
        <v>92</v>
      </c>
      <c r="CDG47" s="8" t="s">
        <v>132</v>
      </c>
      <c r="CDH47" s="22" t="s">
        <v>46</v>
      </c>
      <c r="CDI47" s="8" t="s">
        <v>433</v>
      </c>
      <c r="CDJ47" s="32" t="s">
        <v>92</v>
      </c>
      <c r="CDK47" s="8" t="s">
        <v>132</v>
      </c>
      <c r="CDL47" s="22" t="s">
        <v>46</v>
      </c>
      <c r="CDM47" s="8" t="s">
        <v>433</v>
      </c>
      <c r="CDN47" s="32" t="s">
        <v>92</v>
      </c>
      <c r="CDO47" s="8" t="s">
        <v>132</v>
      </c>
      <c r="CDP47" s="22" t="s">
        <v>46</v>
      </c>
      <c r="CDQ47" s="8" t="s">
        <v>433</v>
      </c>
      <c r="CDR47" s="32" t="s">
        <v>92</v>
      </c>
      <c r="CDS47" s="8" t="s">
        <v>132</v>
      </c>
      <c r="CDT47" s="22" t="s">
        <v>46</v>
      </c>
      <c r="CDU47" s="8" t="s">
        <v>433</v>
      </c>
      <c r="CDV47" s="32" t="s">
        <v>92</v>
      </c>
      <c r="CDW47" s="8" t="s">
        <v>132</v>
      </c>
      <c r="CDX47" s="22" t="s">
        <v>46</v>
      </c>
      <c r="CDY47" s="8" t="s">
        <v>433</v>
      </c>
      <c r="CDZ47" s="32" t="s">
        <v>92</v>
      </c>
      <c r="CEA47" s="8" t="s">
        <v>132</v>
      </c>
      <c r="CEB47" s="22" t="s">
        <v>46</v>
      </c>
      <c r="CEC47" s="8" t="s">
        <v>433</v>
      </c>
      <c r="CED47" s="32" t="s">
        <v>92</v>
      </c>
      <c r="CEE47" s="8" t="s">
        <v>132</v>
      </c>
      <c r="CEF47" s="22" t="s">
        <v>46</v>
      </c>
      <c r="CEG47" s="8" t="s">
        <v>433</v>
      </c>
      <c r="CEH47" s="32" t="s">
        <v>92</v>
      </c>
      <c r="CEI47" s="8" t="s">
        <v>132</v>
      </c>
      <c r="CEJ47" s="22" t="s">
        <v>46</v>
      </c>
      <c r="CEK47" s="8" t="s">
        <v>433</v>
      </c>
      <c r="CEL47" s="32" t="s">
        <v>92</v>
      </c>
      <c r="CEM47" s="8" t="s">
        <v>132</v>
      </c>
      <c r="CEN47" s="22" t="s">
        <v>46</v>
      </c>
      <c r="CEO47" s="8" t="s">
        <v>433</v>
      </c>
      <c r="CEP47" s="32" t="s">
        <v>92</v>
      </c>
      <c r="CEQ47" s="8" t="s">
        <v>132</v>
      </c>
      <c r="CER47" s="22" t="s">
        <v>46</v>
      </c>
      <c r="CES47" s="8" t="s">
        <v>433</v>
      </c>
      <c r="CET47" s="32" t="s">
        <v>92</v>
      </c>
      <c r="CEU47" s="8" t="s">
        <v>132</v>
      </c>
      <c r="CEV47" s="22" t="s">
        <v>46</v>
      </c>
      <c r="CEW47" s="8" t="s">
        <v>433</v>
      </c>
      <c r="CEX47" s="32" t="s">
        <v>92</v>
      </c>
      <c r="CEY47" s="8" t="s">
        <v>132</v>
      </c>
      <c r="CEZ47" s="22" t="s">
        <v>46</v>
      </c>
      <c r="CFA47" s="8" t="s">
        <v>433</v>
      </c>
      <c r="CFB47" s="32" t="s">
        <v>92</v>
      </c>
      <c r="CFC47" s="8" t="s">
        <v>132</v>
      </c>
      <c r="CFD47" s="22" t="s">
        <v>46</v>
      </c>
      <c r="CFE47" s="8" t="s">
        <v>433</v>
      </c>
      <c r="CFF47" s="32" t="s">
        <v>92</v>
      </c>
      <c r="CFG47" s="8" t="s">
        <v>132</v>
      </c>
      <c r="CFH47" s="22" t="s">
        <v>46</v>
      </c>
      <c r="CFI47" s="8" t="s">
        <v>433</v>
      </c>
      <c r="CFJ47" s="32" t="s">
        <v>92</v>
      </c>
      <c r="CFK47" s="8" t="s">
        <v>132</v>
      </c>
      <c r="CFL47" s="22" t="s">
        <v>46</v>
      </c>
      <c r="CFM47" s="8" t="s">
        <v>433</v>
      </c>
      <c r="CFN47" s="32" t="s">
        <v>92</v>
      </c>
      <c r="CFO47" s="8" t="s">
        <v>132</v>
      </c>
      <c r="CFP47" s="22" t="s">
        <v>46</v>
      </c>
      <c r="CFQ47" s="8" t="s">
        <v>433</v>
      </c>
      <c r="CFR47" s="32" t="s">
        <v>92</v>
      </c>
      <c r="CFS47" s="8" t="s">
        <v>132</v>
      </c>
      <c r="CFT47" s="22" t="s">
        <v>46</v>
      </c>
      <c r="CFU47" s="8" t="s">
        <v>433</v>
      </c>
      <c r="CFV47" s="32" t="s">
        <v>92</v>
      </c>
      <c r="CFW47" s="8" t="s">
        <v>132</v>
      </c>
      <c r="CFX47" s="22" t="s">
        <v>46</v>
      </c>
      <c r="CFY47" s="8" t="s">
        <v>433</v>
      </c>
      <c r="CFZ47" s="32" t="s">
        <v>92</v>
      </c>
      <c r="CGA47" s="8" t="s">
        <v>132</v>
      </c>
      <c r="CGB47" s="22" t="s">
        <v>46</v>
      </c>
      <c r="CGC47" s="8" t="s">
        <v>433</v>
      </c>
      <c r="CGD47" s="32" t="s">
        <v>92</v>
      </c>
      <c r="CGE47" s="8" t="s">
        <v>132</v>
      </c>
      <c r="CGF47" s="22" t="s">
        <v>46</v>
      </c>
      <c r="CGG47" s="8" t="s">
        <v>433</v>
      </c>
      <c r="CGH47" s="32" t="s">
        <v>92</v>
      </c>
      <c r="CGI47" s="8" t="s">
        <v>132</v>
      </c>
      <c r="CGJ47" s="22" t="s">
        <v>46</v>
      </c>
      <c r="CGK47" s="8" t="s">
        <v>433</v>
      </c>
      <c r="CGL47" s="32" t="s">
        <v>92</v>
      </c>
      <c r="CGM47" s="8" t="s">
        <v>132</v>
      </c>
      <c r="CGN47" s="22" t="s">
        <v>46</v>
      </c>
      <c r="CGO47" s="8" t="s">
        <v>433</v>
      </c>
      <c r="CGP47" s="32" t="s">
        <v>92</v>
      </c>
      <c r="CGQ47" s="8" t="s">
        <v>132</v>
      </c>
      <c r="CGR47" s="22" t="s">
        <v>46</v>
      </c>
      <c r="CGS47" s="8" t="s">
        <v>433</v>
      </c>
      <c r="CGT47" s="32" t="s">
        <v>92</v>
      </c>
      <c r="CGU47" s="8" t="s">
        <v>132</v>
      </c>
      <c r="CGV47" s="22" t="s">
        <v>46</v>
      </c>
      <c r="CGW47" s="8" t="s">
        <v>433</v>
      </c>
      <c r="CGX47" s="32" t="s">
        <v>92</v>
      </c>
      <c r="CGY47" s="8" t="s">
        <v>132</v>
      </c>
      <c r="CGZ47" s="22" t="s">
        <v>46</v>
      </c>
      <c r="CHA47" s="8" t="s">
        <v>433</v>
      </c>
      <c r="CHB47" s="32" t="s">
        <v>92</v>
      </c>
      <c r="CHC47" s="8" t="s">
        <v>132</v>
      </c>
      <c r="CHD47" s="22" t="s">
        <v>46</v>
      </c>
      <c r="CHE47" s="8" t="s">
        <v>433</v>
      </c>
      <c r="CHF47" s="32" t="s">
        <v>92</v>
      </c>
      <c r="CHG47" s="8" t="s">
        <v>132</v>
      </c>
      <c r="CHH47" s="22" t="s">
        <v>46</v>
      </c>
      <c r="CHI47" s="8" t="s">
        <v>433</v>
      </c>
      <c r="CHJ47" s="32" t="s">
        <v>92</v>
      </c>
      <c r="CHK47" s="8" t="s">
        <v>132</v>
      </c>
      <c r="CHL47" s="22" t="s">
        <v>46</v>
      </c>
      <c r="CHM47" s="8" t="s">
        <v>433</v>
      </c>
      <c r="CHN47" s="32" t="s">
        <v>92</v>
      </c>
      <c r="CHO47" s="8" t="s">
        <v>132</v>
      </c>
      <c r="CHP47" s="22" t="s">
        <v>46</v>
      </c>
      <c r="CHQ47" s="8" t="s">
        <v>433</v>
      </c>
      <c r="CHR47" s="32" t="s">
        <v>92</v>
      </c>
      <c r="CHS47" s="8" t="s">
        <v>132</v>
      </c>
      <c r="CHT47" s="22" t="s">
        <v>46</v>
      </c>
      <c r="CHU47" s="8" t="s">
        <v>433</v>
      </c>
      <c r="CHV47" s="32" t="s">
        <v>92</v>
      </c>
      <c r="CHW47" s="8" t="s">
        <v>132</v>
      </c>
      <c r="CHX47" s="22" t="s">
        <v>46</v>
      </c>
      <c r="CHY47" s="8" t="s">
        <v>433</v>
      </c>
      <c r="CHZ47" s="32" t="s">
        <v>92</v>
      </c>
      <c r="CIA47" s="8" t="s">
        <v>132</v>
      </c>
      <c r="CIB47" s="22" t="s">
        <v>46</v>
      </c>
      <c r="CIC47" s="8" t="s">
        <v>433</v>
      </c>
      <c r="CID47" s="32" t="s">
        <v>92</v>
      </c>
      <c r="CIE47" s="8" t="s">
        <v>132</v>
      </c>
      <c r="CIF47" s="22" t="s">
        <v>46</v>
      </c>
      <c r="CIG47" s="8" t="s">
        <v>433</v>
      </c>
      <c r="CIH47" s="32" t="s">
        <v>92</v>
      </c>
      <c r="CII47" s="8" t="s">
        <v>132</v>
      </c>
      <c r="CIJ47" s="22" t="s">
        <v>46</v>
      </c>
      <c r="CIK47" s="8" t="s">
        <v>433</v>
      </c>
      <c r="CIL47" s="32" t="s">
        <v>92</v>
      </c>
      <c r="CIM47" s="8" t="s">
        <v>132</v>
      </c>
      <c r="CIN47" s="22" t="s">
        <v>46</v>
      </c>
      <c r="CIO47" s="8" t="s">
        <v>433</v>
      </c>
      <c r="CIP47" s="32" t="s">
        <v>92</v>
      </c>
      <c r="CIQ47" s="8" t="s">
        <v>132</v>
      </c>
      <c r="CIR47" s="22" t="s">
        <v>46</v>
      </c>
      <c r="CIS47" s="8" t="s">
        <v>433</v>
      </c>
      <c r="CIT47" s="32" t="s">
        <v>92</v>
      </c>
      <c r="CIU47" s="8" t="s">
        <v>132</v>
      </c>
      <c r="CIV47" s="22" t="s">
        <v>46</v>
      </c>
      <c r="CIW47" s="8" t="s">
        <v>433</v>
      </c>
      <c r="CIX47" s="32" t="s">
        <v>92</v>
      </c>
      <c r="CIY47" s="8" t="s">
        <v>132</v>
      </c>
      <c r="CIZ47" s="22" t="s">
        <v>46</v>
      </c>
      <c r="CJA47" s="8" t="s">
        <v>433</v>
      </c>
      <c r="CJB47" s="32" t="s">
        <v>92</v>
      </c>
      <c r="CJC47" s="8" t="s">
        <v>132</v>
      </c>
      <c r="CJD47" s="22" t="s">
        <v>46</v>
      </c>
      <c r="CJE47" s="8" t="s">
        <v>433</v>
      </c>
      <c r="CJF47" s="32" t="s">
        <v>92</v>
      </c>
      <c r="CJG47" s="8" t="s">
        <v>132</v>
      </c>
      <c r="CJH47" s="22" t="s">
        <v>46</v>
      </c>
      <c r="CJI47" s="8" t="s">
        <v>433</v>
      </c>
      <c r="CJJ47" s="32" t="s">
        <v>92</v>
      </c>
      <c r="CJK47" s="8" t="s">
        <v>132</v>
      </c>
      <c r="CJL47" s="22" t="s">
        <v>46</v>
      </c>
      <c r="CJM47" s="8" t="s">
        <v>433</v>
      </c>
      <c r="CJN47" s="32" t="s">
        <v>92</v>
      </c>
      <c r="CJO47" s="8" t="s">
        <v>132</v>
      </c>
      <c r="CJP47" s="22" t="s">
        <v>46</v>
      </c>
      <c r="CJQ47" s="8" t="s">
        <v>433</v>
      </c>
      <c r="CJR47" s="32" t="s">
        <v>92</v>
      </c>
      <c r="CJS47" s="8" t="s">
        <v>132</v>
      </c>
      <c r="CJT47" s="22" t="s">
        <v>46</v>
      </c>
      <c r="CJU47" s="8" t="s">
        <v>433</v>
      </c>
      <c r="CJV47" s="32" t="s">
        <v>92</v>
      </c>
      <c r="CJW47" s="8" t="s">
        <v>132</v>
      </c>
      <c r="CJX47" s="22" t="s">
        <v>46</v>
      </c>
      <c r="CJY47" s="8" t="s">
        <v>433</v>
      </c>
      <c r="CJZ47" s="32" t="s">
        <v>92</v>
      </c>
      <c r="CKA47" s="8" t="s">
        <v>132</v>
      </c>
      <c r="CKB47" s="22" t="s">
        <v>46</v>
      </c>
      <c r="CKC47" s="8" t="s">
        <v>433</v>
      </c>
      <c r="CKD47" s="32" t="s">
        <v>92</v>
      </c>
      <c r="CKE47" s="8" t="s">
        <v>132</v>
      </c>
      <c r="CKF47" s="22" t="s">
        <v>46</v>
      </c>
      <c r="CKG47" s="8" t="s">
        <v>433</v>
      </c>
      <c r="CKH47" s="32" t="s">
        <v>92</v>
      </c>
      <c r="CKI47" s="8" t="s">
        <v>132</v>
      </c>
      <c r="CKJ47" s="22" t="s">
        <v>46</v>
      </c>
      <c r="CKK47" s="8" t="s">
        <v>433</v>
      </c>
      <c r="CKL47" s="32" t="s">
        <v>92</v>
      </c>
      <c r="CKM47" s="8" t="s">
        <v>132</v>
      </c>
      <c r="CKN47" s="22" t="s">
        <v>46</v>
      </c>
      <c r="CKO47" s="8" t="s">
        <v>433</v>
      </c>
      <c r="CKP47" s="32" t="s">
        <v>92</v>
      </c>
      <c r="CKQ47" s="8" t="s">
        <v>132</v>
      </c>
      <c r="CKR47" s="22" t="s">
        <v>46</v>
      </c>
      <c r="CKS47" s="8" t="s">
        <v>433</v>
      </c>
      <c r="CKT47" s="32" t="s">
        <v>92</v>
      </c>
      <c r="CKU47" s="8" t="s">
        <v>132</v>
      </c>
      <c r="CKV47" s="22" t="s">
        <v>46</v>
      </c>
      <c r="CKW47" s="8" t="s">
        <v>433</v>
      </c>
      <c r="CKX47" s="32" t="s">
        <v>92</v>
      </c>
      <c r="CKY47" s="8" t="s">
        <v>132</v>
      </c>
      <c r="CKZ47" s="22" t="s">
        <v>46</v>
      </c>
      <c r="CLA47" s="8" t="s">
        <v>433</v>
      </c>
      <c r="CLB47" s="32" t="s">
        <v>92</v>
      </c>
      <c r="CLC47" s="8" t="s">
        <v>132</v>
      </c>
      <c r="CLD47" s="22" t="s">
        <v>46</v>
      </c>
      <c r="CLE47" s="8" t="s">
        <v>433</v>
      </c>
      <c r="CLF47" s="32" t="s">
        <v>92</v>
      </c>
      <c r="CLG47" s="8" t="s">
        <v>132</v>
      </c>
      <c r="CLH47" s="22" t="s">
        <v>46</v>
      </c>
      <c r="CLI47" s="8" t="s">
        <v>433</v>
      </c>
      <c r="CLJ47" s="32" t="s">
        <v>92</v>
      </c>
      <c r="CLK47" s="8" t="s">
        <v>132</v>
      </c>
      <c r="CLL47" s="22" t="s">
        <v>46</v>
      </c>
      <c r="CLM47" s="8" t="s">
        <v>433</v>
      </c>
      <c r="CLN47" s="32" t="s">
        <v>92</v>
      </c>
      <c r="CLO47" s="8" t="s">
        <v>132</v>
      </c>
      <c r="CLP47" s="22" t="s">
        <v>46</v>
      </c>
      <c r="CLQ47" s="8" t="s">
        <v>433</v>
      </c>
      <c r="CLR47" s="32" t="s">
        <v>92</v>
      </c>
      <c r="CLS47" s="8" t="s">
        <v>132</v>
      </c>
      <c r="CLT47" s="22" t="s">
        <v>46</v>
      </c>
      <c r="CLU47" s="8" t="s">
        <v>433</v>
      </c>
      <c r="CLV47" s="32" t="s">
        <v>92</v>
      </c>
      <c r="CLW47" s="8" t="s">
        <v>132</v>
      </c>
      <c r="CLX47" s="22" t="s">
        <v>46</v>
      </c>
      <c r="CLY47" s="8" t="s">
        <v>433</v>
      </c>
      <c r="CLZ47" s="32" t="s">
        <v>92</v>
      </c>
      <c r="CMA47" s="8" t="s">
        <v>132</v>
      </c>
      <c r="CMB47" s="22" t="s">
        <v>46</v>
      </c>
      <c r="CMC47" s="8" t="s">
        <v>433</v>
      </c>
      <c r="CMD47" s="32" t="s">
        <v>92</v>
      </c>
      <c r="CME47" s="8" t="s">
        <v>132</v>
      </c>
      <c r="CMF47" s="22" t="s">
        <v>46</v>
      </c>
      <c r="CMG47" s="8" t="s">
        <v>433</v>
      </c>
      <c r="CMH47" s="32" t="s">
        <v>92</v>
      </c>
      <c r="CMI47" s="8" t="s">
        <v>132</v>
      </c>
      <c r="CMJ47" s="22" t="s">
        <v>46</v>
      </c>
      <c r="CMK47" s="8" t="s">
        <v>433</v>
      </c>
      <c r="CML47" s="32" t="s">
        <v>92</v>
      </c>
      <c r="CMM47" s="8" t="s">
        <v>132</v>
      </c>
      <c r="CMN47" s="22" t="s">
        <v>46</v>
      </c>
      <c r="CMO47" s="8" t="s">
        <v>433</v>
      </c>
      <c r="CMP47" s="32" t="s">
        <v>92</v>
      </c>
      <c r="CMQ47" s="8" t="s">
        <v>132</v>
      </c>
      <c r="CMR47" s="22" t="s">
        <v>46</v>
      </c>
      <c r="CMS47" s="8" t="s">
        <v>433</v>
      </c>
      <c r="CMT47" s="32" t="s">
        <v>92</v>
      </c>
      <c r="CMU47" s="8" t="s">
        <v>132</v>
      </c>
      <c r="CMV47" s="22" t="s">
        <v>46</v>
      </c>
      <c r="CMW47" s="8" t="s">
        <v>433</v>
      </c>
      <c r="CMX47" s="32" t="s">
        <v>92</v>
      </c>
      <c r="CMY47" s="8" t="s">
        <v>132</v>
      </c>
      <c r="CMZ47" s="22" t="s">
        <v>46</v>
      </c>
      <c r="CNA47" s="8" t="s">
        <v>433</v>
      </c>
      <c r="CNB47" s="32" t="s">
        <v>92</v>
      </c>
      <c r="CNC47" s="8" t="s">
        <v>132</v>
      </c>
      <c r="CND47" s="22" t="s">
        <v>46</v>
      </c>
      <c r="CNE47" s="8" t="s">
        <v>433</v>
      </c>
      <c r="CNF47" s="32" t="s">
        <v>92</v>
      </c>
      <c r="CNG47" s="8" t="s">
        <v>132</v>
      </c>
      <c r="CNH47" s="22" t="s">
        <v>46</v>
      </c>
      <c r="CNI47" s="8" t="s">
        <v>433</v>
      </c>
      <c r="CNJ47" s="32" t="s">
        <v>92</v>
      </c>
      <c r="CNK47" s="8" t="s">
        <v>132</v>
      </c>
      <c r="CNL47" s="22" t="s">
        <v>46</v>
      </c>
      <c r="CNM47" s="8" t="s">
        <v>433</v>
      </c>
      <c r="CNN47" s="32" t="s">
        <v>92</v>
      </c>
      <c r="CNO47" s="8" t="s">
        <v>132</v>
      </c>
      <c r="CNP47" s="22" t="s">
        <v>46</v>
      </c>
      <c r="CNQ47" s="8" t="s">
        <v>433</v>
      </c>
      <c r="CNR47" s="32" t="s">
        <v>92</v>
      </c>
      <c r="CNS47" s="8" t="s">
        <v>132</v>
      </c>
      <c r="CNT47" s="22" t="s">
        <v>46</v>
      </c>
      <c r="CNU47" s="8" t="s">
        <v>433</v>
      </c>
      <c r="CNV47" s="32" t="s">
        <v>92</v>
      </c>
      <c r="CNW47" s="8" t="s">
        <v>132</v>
      </c>
      <c r="CNX47" s="22" t="s">
        <v>46</v>
      </c>
      <c r="CNY47" s="8" t="s">
        <v>433</v>
      </c>
      <c r="CNZ47" s="32" t="s">
        <v>92</v>
      </c>
      <c r="COA47" s="8" t="s">
        <v>132</v>
      </c>
      <c r="COB47" s="22" t="s">
        <v>46</v>
      </c>
      <c r="COC47" s="8" t="s">
        <v>433</v>
      </c>
      <c r="COD47" s="32" t="s">
        <v>92</v>
      </c>
      <c r="COE47" s="8" t="s">
        <v>132</v>
      </c>
      <c r="COF47" s="22" t="s">
        <v>46</v>
      </c>
      <c r="COG47" s="8" t="s">
        <v>433</v>
      </c>
      <c r="COH47" s="32" t="s">
        <v>92</v>
      </c>
      <c r="COI47" s="8" t="s">
        <v>132</v>
      </c>
      <c r="COJ47" s="22" t="s">
        <v>46</v>
      </c>
      <c r="COK47" s="8" t="s">
        <v>433</v>
      </c>
      <c r="COL47" s="32" t="s">
        <v>92</v>
      </c>
      <c r="COM47" s="8" t="s">
        <v>132</v>
      </c>
      <c r="CON47" s="22" t="s">
        <v>46</v>
      </c>
      <c r="COO47" s="8" t="s">
        <v>433</v>
      </c>
      <c r="COP47" s="32" t="s">
        <v>92</v>
      </c>
      <c r="COQ47" s="8" t="s">
        <v>132</v>
      </c>
      <c r="COR47" s="22" t="s">
        <v>46</v>
      </c>
      <c r="COS47" s="8" t="s">
        <v>433</v>
      </c>
      <c r="COT47" s="32" t="s">
        <v>92</v>
      </c>
      <c r="COU47" s="8" t="s">
        <v>132</v>
      </c>
      <c r="COV47" s="22" t="s">
        <v>46</v>
      </c>
      <c r="COW47" s="8" t="s">
        <v>433</v>
      </c>
      <c r="COX47" s="32" t="s">
        <v>92</v>
      </c>
      <c r="COY47" s="8" t="s">
        <v>132</v>
      </c>
      <c r="COZ47" s="22" t="s">
        <v>46</v>
      </c>
      <c r="CPA47" s="8" t="s">
        <v>433</v>
      </c>
      <c r="CPB47" s="32" t="s">
        <v>92</v>
      </c>
      <c r="CPC47" s="8" t="s">
        <v>132</v>
      </c>
      <c r="CPD47" s="22" t="s">
        <v>46</v>
      </c>
      <c r="CPE47" s="8" t="s">
        <v>433</v>
      </c>
      <c r="CPF47" s="32" t="s">
        <v>92</v>
      </c>
      <c r="CPG47" s="8" t="s">
        <v>132</v>
      </c>
      <c r="CPH47" s="22" t="s">
        <v>46</v>
      </c>
      <c r="CPI47" s="8" t="s">
        <v>433</v>
      </c>
      <c r="CPJ47" s="32" t="s">
        <v>92</v>
      </c>
      <c r="CPK47" s="8" t="s">
        <v>132</v>
      </c>
      <c r="CPL47" s="22" t="s">
        <v>46</v>
      </c>
      <c r="CPM47" s="8" t="s">
        <v>433</v>
      </c>
      <c r="CPN47" s="32" t="s">
        <v>92</v>
      </c>
      <c r="CPO47" s="8" t="s">
        <v>132</v>
      </c>
      <c r="CPP47" s="22" t="s">
        <v>46</v>
      </c>
      <c r="CPQ47" s="8" t="s">
        <v>433</v>
      </c>
      <c r="CPR47" s="32" t="s">
        <v>92</v>
      </c>
      <c r="CPS47" s="8" t="s">
        <v>132</v>
      </c>
      <c r="CPT47" s="22" t="s">
        <v>46</v>
      </c>
      <c r="CPU47" s="8" t="s">
        <v>433</v>
      </c>
      <c r="CPV47" s="32" t="s">
        <v>92</v>
      </c>
      <c r="CPW47" s="8" t="s">
        <v>132</v>
      </c>
      <c r="CPX47" s="22" t="s">
        <v>46</v>
      </c>
      <c r="CPY47" s="8" t="s">
        <v>433</v>
      </c>
      <c r="CPZ47" s="32" t="s">
        <v>92</v>
      </c>
      <c r="CQA47" s="8" t="s">
        <v>132</v>
      </c>
      <c r="CQB47" s="22" t="s">
        <v>46</v>
      </c>
      <c r="CQC47" s="8" t="s">
        <v>433</v>
      </c>
      <c r="CQD47" s="32" t="s">
        <v>92</v>
      </c>
      <c r="CQE47" s="8" t="s">
        <v>132</v>
      </c>
      <c r="CQF47" s="22" t="s">
        <v>46</v>
      </c>
      <c r="CQG47" s="8" t="s">
        <v>433</v>
      </c>
      <c r="CQH47" s="32" t="s">
        <v>92</v>
      </c>
      <c r="CQI47" s="8" t="s">
        <v>132</v>
      </c>
      <c r="CQJ47" s="22" t="s">
        <v>46</v>
      </c>
      <c r="CQK47" s="8" t="s">
        <v>433</v>
      </c>
      <c r="CQL47" s="32" t="s">
        <v>92</v>
      </c>
      <c r="CQM47" s="8" t="s">
        <v>132</v>
      </c>
      <c r="CQN47" s="22" t="s">
        <v>46</v>
      </c>
      <c r="CQO47" s="8" t="s">
        <v>433</v>
      </c>
      <c r="CQP47" s="32" t="s">
        <v>92</v>
      </c>
      <c r="CQQ47" s="8" t="s">
        <v>132</v>
      </c>
      <c r="CQR47" s="22" t="s">
        <v>46</v>
      </c>
      <c r="CQS47" s="8" t="s">
        <v>433</v>
      </c>
      <c r="CQT47" s="32" t="s">
        <v>92</v>
      </c>
      <c r="CQU47" s="8" t="s">
        <v>132</v>
      </c>
      <c r="CQV47" s="22" t="s">
        <v>46</v>
      </c>
      <c r="CQW47" s="8" t="s">
        <v>433</v>
      </c>
      <c r="CQX47" s="32" t="s">
        <v>92</v>
      </c>
      <c r="CQY47" s="8" t="s">
        <v>132</v>
      </c>
      <c r="CQZ47" s="22" t="s">
        <v>46</v>
      </c>
      <c r="CRA47" s="8" t="s">
        <v>433</v>
      </c>
      <c r="CRB47" s="32" t="s">
        <v>92</v>
      </c>
      <c r="CRC47" s="8" t="s">
        <v>132</v>
      </c>
      <c r="CRD47" s="22" t="s">
        <v>46</v>
      </c>
      <c r="CRE47" s="8" t="s">
        <v>433</v>
      </c>
      <c r="CRF47" s="32" t="s">
        <v>92</v>
      </c>
      <c r="CRG47" s="8" t="s">
        <v>132</v>
      </c>
      <c r="CRH47" s="22" t="s">
        <v>46</v>
      </c>
      <c r="CRI47" s="8" t="s">
        <v>433</v>
      </c>
      <c r="CRJ47" s="32" t="s">
        <v>92</v>
      </c>
      <c r="CRK47" s="8" t="s">
        <v>132</v>
      </c>
      <c r="CRL47" s="22" t="s">
        <v>46</v>
      </c>
      <c r="CRM47" s="8" t="s">
        <v>433</v>
      </c>
      <c r="CRN47" s="32" t="s">
        <v>92</v>
      </c>
      <c r="CRO47" s="8" t="s">
        <v>132</v>
      </c>
      <c r="CRP47" s="22" t="s">
        <v>46</v>
      </c>
      <c r="CRQ47" s="8" t="s">
        <v>433</v>
      </c>
      <c r="CRR47" s="32" t="s">
        <v>92</v>
      </c>
      <c r="CRS47" s="8" t="s">
        <v>132</v>
      </c>
      <c r="CRT47" s="22" t="s">
        <v>46</v>
      </c>
      <c r="CRU47" s="8" t="s">
        <v>433</v>
      </c>
      <c r="CRV47" s="32" t="s">
        <v>92</v>
      </c>
      <c r="CRW47" s="8" t="s">
        <v>132</v>
      </c>
      <c r="CRX47" s="22" t="s">
        <v>46</v>
      </c>
      <c r="CRY47" s="8" t="s">
        <v>433</v>
      </c>
      <c r="CRZ47" s="32" t="s">
        <v>92</v>
      </c>
      <c r="CSA47" s="8" t="s">
        <v>132</v>
      </c>
      <c r="CSB47" s="22" t="s">
        <v>46</v>
      </c>
      <c r="CSC47" s="8" t="s">
        <v>433</v>
      </c>
      <c r="CSD47" s="32" t="s">
        <v>92</v>
      </c>
      <c r="CSE47" s="8" t="s">
        <v>132</v>
      </c>
      <c r="CSF47" s="22" t="s">
        <v>46</v>
      </c>
      <c r="CSG47" s="8" t="s">
        <v>433</v>
      </c>
      <c r="CSH47" s="32" t="s">
        <v>92</v>
      </c>
      <c r="CSI47" s="8" t="s">
        <v>132</v>
      </c>
      <c r="CSJ47" s="22" t="s">
        <v>46</v>
      </c>
      <c r="CSK47" s="8" t="s">
        <v>433</v>
      </c>
      <c r="CSL47" s="32" t="s">
        <v>92</v>
      </c>
      <c r="CSM47" s="8" t="s">
        <v>132</v>
      </c>
      <c r="CSN47" s="22" t="s">
        <v>46</v>
      </c>
      <c r="CSO47" s="8" t="s">
        <v>433</v>
      </c>
      <c r="CSP47" s="32" t="s">
        <v>92</v>
      </c>
      <c r="CSQ47" s="8" t="s">
        <v>132</v>
      </c>
      <c r="CSR47" s="22" t="s">
        <v>46</v>
      </c>
      <c r="CSS47" s="8" t="s">
        <v>433</v>
      </c>
      <c r="CST47" s="32" t="s">
        <v>92</v>
      </c>
      <c r="CSU47" s="8" t="s">
        <v>132</v>
      </c>
      <c r="CSV47" s="22" t="s">
        <v>46</v>
      </c>
      <c r="CSW47" s="8" t="s">
        <v>433</v>
      </c>
      <c r="CSX47" s="32" t="s">
        <v>92</v>
      </c>
      <c r="CSY47" s="8" t="s">
        <v>132</v>
      </c>
      <c r="CSZ47" s="22" t="s">
        <v>46</v>
      </c>
      <c r="CTA47" s="8" t="s">
        <v>433</v>
      </c>
      <c r="CTB47" s="32" t="s">
        <v>92</v>
      </c>
      <c r="CTC47" s="8" t="s">
        <v>132</v>
      </c>
      <c r="CTD47" s="22" t="s">
        <v>46</v>
      </c>
      <c r="CTE47" s="8" t="s">
        <v>433</v>
      </c>
      <c r="CTF47" s="32" t="s">
        <v>92</v>
      </c>
      <c r="CTG47" s="8" t="s">
        <v>132</v>
      </c>
      <c r="CTH47" s="22" t="s">
        <v>46</v>
      </c>
      <c r="CTI47" s="8" t="s">
        <v>433</v>
      </c>
      <c r="CTJ47" s="32" t="s">
        <v>92</v>
      </c>
      <c r="CTK47" s="8" t="s">
        <v>132</v>
      </c>
      <c r="CTL47" s="22" t="s">
        <v>46</v>
      </c>
      <c r="CTM47" s="8" t="s">
        <v>433</v>
      </c>
      <c r="CTN47" s="32" t="s">
        <v>92</v>
      </c>
      <c r="CTO47" s="8" t="s">
        <v>132</v>
      </c>
      <c r="CTP47" s="22" t="s">
        <v>46</v>
      </c>
      <c r="CTQ47" s="8" t="s">
        <v>433</v>
      </c>
      <c r="CTR47" s="32" t="s">
        <v>92</v>
      </c>
      <c r="CTS47" s="8" t="s">
        <v>132</v>
      </c>
      <c r="CTT47" s="22" t="s">
        <v>46</v>
      </c>
      <c r="CTU47" s="8" t="s">
        <v>433</v>
      </c>
      <c r="CTV47" s="32" t="s">
        <v>92</v>
      </c>
      <c r="CTW47" s="8" t="s">
        <v>132</v>
      </c>
      <c r="CTX47" s="22" t="s">
        <v>46</v>
      </c>
      <c r="CTY47" s="8" t="s">
        <v>433</v>
      </c>
      <c r="CTZ47" s="32" t="s">
        <v>92</v>
      </c>
      <c r="CUA47" s="8" t="s">
        <v>132</v>
      </c>
      <c r="CUB47" s="22" t="s">
        <v>46</v>
      </c>
      <c r="CUC47" s="8" t="s">
        <v>433</v>
      </c>
      <c r="CUD47" s="32" t="s">
        <v>92</v>
      </c>
      <c r="CUE47" s="8" t="s">
        <v>132</v>
      </c>
      <c r="CUF47" s="22" t="s">
        <v>46</v>
      </c>
      <c r="CUG47" s="8" t="s">
        <v>433</v>
      </c>
      <c r="CUH47" s="32" t="s">
        <v>92</v>
      </c>
      <c r="CUI47" s="8" t="s">
        <v>132</v>
      </c>
      <c r="CUJ47" s="22" t="s">
        <v>46</v>
      </c>
      <c r="CUK47" s="8" t="s">
        <v>433</v>
      </c>
      <c r="CUL47" s="32" t="s">
        <v>92</v>
      </c>
      <c r="CUM47" s="8" t="s">
        <v>132</v>
      </c>
      <c r="CUN47" s="22" t="s">
        <v>46</v>
      </c>
      <c r="CUO47" s="8" t="s">
        <v>433</v>
      </c>
      <c r="CUP47" s="32" t="s">
        <v>92</v>
      </c>
      <c r="CUQ47" s="8" t="s">
        <v>132</v>
      </c>
      <c r="CUR47" s="22" t="s">
        <v>46</v>
      </c>
      <c r="CUS47" s="8" t="s">
        <v>433</v>
      </c>
      <c r="CUT47" s="32" t="s">
        <v>92</v>
      </c>
      <c r="CUU47" s="8" t="s">
        <v>132</v>
      </c>
      <c r="CUV47" s="22" t="s">
        <v>46</v>
      </c>
      <c r="CUW47" s="8" t="s">
        <v>433</v>
      </c>
      <c r="CUX47" s="32" t="s">
        <v>92</v>
      </c>
      <c r="CUY47" s="8" t="s">
        <v>132</v>
      </c>
      <c r="CUZ47" s="22" t="s">
        <v>46</v>
      </c>
      <c r="CVA47" s="8" t="s">
        <v>433</v>
      </c>
      <c r="CVB47" s="32" t="s">
        <v>92</v>
      </c>
      <c r="CVC47" s="8" t="s">
        <v>132</v>
      </c>
      <c r="CVD47" s="22" t="s">
        <v>46</v>
      </c>
      <c r="CVE47" s="8" t="s">
        <v>433</v>
      </c>
      <c r="CVF47" s="32" t="s">
        <v>92</v>
      </c>
      <c r="CVG47" s="8" t="s">
        <v>132</v>
      </c>
      <c r="CVH47" s="22" t="s">
        <v>46</v>
      </c>
      <c r="CVI47" s="8" t="s">
        <v>433</v>
      </c>
      <c r="CVJ47" s="32" t="s">
        <v>92</v>
      </c>
      <c r="CVK47" s="8" t="s">
        <v>132</v>
      </c>
      <c r="CVL47" s="22" t="s">
        <v>46</v>
      </c>
      <c r="CVM47" s="8" t="s">
        <v>433</v>
      </c>
      <c r="CVN47" s="32" t="s">
        <v>92</v>
      </c>
      <c r="CVO47" s="8" t="s">
        <v>132</v>
      </c>
      <c r="CVP47" s="22" t="s">
        <v>46</v>
      </c>
      <c r="CVQ47" s="8" t="s">
        <v>433</v>
      </c>
      <c r="CVR47" s="32" t="s">
        <v>92</v>
      </c>
      <c r="CVS47" s="8" t="s">
        <v>132</v>
      </c>
      <c r="CVT47" s="22" t="s">
        <v>46</v>
      </c>
      <c r="CVU47" s="8" t="s">
        <v>433</v>
      </c>
      <c r="CVV47" s="32" t="s">
        <v>92</v>
      </c>
      <c r="CVW47" s="8" t="s">
        <v>132</v>
      </c>
      <c r="CVX47" s="22" t="s">
        <v>46</v>
      </c>
      <c r="CVY47" s="8" t="s">
        <v>433</v>
      </c>
      <c r="CVZ47" s="32" t="s">
        <v>92</v>
      </c>
      <c r="CWA47" s="8" t="s">
        <v>132</v>
      </c>
      <c r="CWB47" s="22" t="s">
        <v>46</v>
      </c>
      <c r="CWC47" s="8" t="s">
        <v>433</v>
      </c>
      <c r="CWD47" s="32" t="s">
        <v>92</v>
      </c>
      <c r="CWE47" s="8" t="s">
        <v>132</v>
      </c>
      <c r="CWF47" s="22" t="s">
        <v>46</v>
      </c>
      <c r="CWG47" s="8" t="s">
        <v>433</v>
      </c>
      <c r="CWH47" s="32" t="s">
        <v>92</v>
      </c>
      <c r="CWI47" s="8" t="s">
        <v>132</v>
      </c>
      <c r="CWJ47" s="22" t="s">
        <v>46</v>
      </c>
      <c r="CWK47" s="8" t="s">
        <v>433</v>
      </c>
      <c r="CWL47" s="32" t="s">
        <v>92</v>
      </c>
      <c r="CWM47" s="8" t="s">
        <v>132</v>
      </c>
      <c r="CWN47" s="22" t="s">
        <v>46</v>
      </c>
      <c r="CWO47" s="8" t="s">
        <v>433</v>
      </c>
      <c r="CWP47" s="32" t="s">
        <v>92</v>
      </c>
      <c r="CWQ47" s="8" t="s">
        <v>132</v>
      </c>
      <c r="CWR47" s="22" t="s">
        <v>46</v>
      </c>
      <c r="CWS47" s="8" t="s">
        <v>433</v>
      </c>
      <c r="CWT47" s="32" t="s">
        <v>92</v>
      </c>
      <c r="CWU47" s="8" t="s">
        <v>132</v>
      </c>
      <c r="CWV47" s="22" t="s">
        <v>46</v>
      </c>
      <c r="CWW47" s="8" t="s">
        <v>433</v>
      </c>
      <c r="CWX47" s="32" t="s">
        <v>92</v>
      </c>
      <c r="CWY47" s="8" t="s">
        <v>132</v>
      </c>
      <c r="CWZ47" s="22" t="s">
        <v>46</v>
      </c>
      <c r="CXA47" s="8" t="s">
        <v>433</v>
      </c>
      <c r="CXB47" s="32" t="s">
        <v>92</v>
      </c>
      <c r="CXC47" s="8" t="s">
        <v>132</v>
      </c>
      <c r="CXD47" s="22" t="s">
        <v>46</v>
      </c>
      <c r="CXE47" s="8" t="s">
        <v>433</v>
      </c>
      <c r="CXF47" s="32" t="s">
        <v>92</v>
      </c>
      <c r="CXG47" s="8" t="s">
        <v>132</v>
      </c>
      <c r="CXH47" s="22" t="s">
        <v>46</v>
      </c>
      <c r="CXI47" s="8" t="s">
        <v>433</v>
      </c>
      <c r="CXJ47" s="32" t="s">
        <v>92</v>
      </c>
      <c r="CXK47" s="8" t="s">
        <v>132</v>
      </c>
      <c r="CXL47" s="22" t="s">
        <v>46</v>
      </c>
      <c r="CXM47" s="8" t="s">
        <v>433</v>
      </c>
      <c r="CXN47" s="32" t="s">
        <v>92</v>
      </c>
      <c r="CXO47" s="8" t="s">
        <v>132</v>
      </c>
      <c r="CXP47" s="22" t="s">
        <v>46</v>
      </c>
      <c r="CXQ47" s="8" t="s">
        <v>433</v>
      </c>
      <c r="CXR47" s="32" t="s">
        <v>92</v>
      </c>
      <c r="CXS47" s="8" t="s">
        <v>132</v>
      </c>
      <c r="CXT47" s="22" t="s">
        <v>46</v>
      </c>
      <c r="CXU47" s="8" t="s">
        <v>433</v>
      </c>
      <c r="CXV47" s="32" t="s">
        <v>92</v>
      </c>
      <c r="CXW47" s="8" t="s">
        <v>132</v>
      </c>
      <c r="CXX47" s="22" t="s">
        <v>46</v>
      </c>
      <c r="CXY47" s="8" t="s">
        <v>433</v>
      </c>
      <c r="CXZ47" s="32" t="s">
        <v>92</v>
      </c>
      <c r="CYA47" s="8" t="s">
        <v>132</v>
      </c>
      <c r="CYB47" s="22" t="s">
        <v>46</v>
      </c>
      <c r="CYC47" s="8" t="s">
        <v>433</v>
      </c>
      <c r="CYD47" s="32" t="s">
        <v>92</v>
      </c>
      <c r="CYE47" s="8" t="s">
        <v>132</v>
      </c>
      <c r="CYF47" s="22" t="s">
        <v>46</v>
      </c>
      <c r="CYG47" s="8" t="s">
        <v>433</v>
      </c>
      <c r="CYH47" s="32" t="s">
        <v>92</v>
      </c>
      <c r="CYI47" s="8" t="s">
        <v>132</v>
      </c>
      <c r="CYJ47" s="22" t="s">
        <v>46</v>
      </c>
      <c r="CYK47" s="8" t="s">
        <v>433</v>
      </c>
      <c r="CYL47" s="32" t="s">
        <v>92</v>
      </c>
      <c r="CYM47" s="8" t="s">
        <v>132</v>
      </c>
      <c r="CYN47" s="22" t="s">
        <v>46</v>
      </c>
      <c r="CYO47" s="8" t="s">
        <v>433</v>
      </c>
      <c r="CYP47" s="32" t="s">
        <v>92</v>
      </c>
      <c r="CYQ47" s="8" t="s">
        <v>132</v>
      </c>
      <c r="CYR47" s="22" t="s">
        <v>46</v>
      </c>
      <c r="CYS47" s="8" t="s">
        <v>433</v>
      </c>
      <c r="CYT47" s="32" t="s">
        <v>92</v>
      </c>
      <c r="CYU47" s="8" t="s">
        <v>132</v>
      </c>
      <c r="CYV47" s="22" t="s">
        <v>46</v>
      </c>
      <c r="CYW47" s="8" t="s">
        <v>433</v>
      </c>
      <c r="CYX47" s="32" t="s">
        <v>92</v>
      </c>
      <c r="CYY47" s="8" t="s">
        <v>132</v>
      </c>
      <c r="CYZ47" s="22" t="s">
        <v>46</v>
      </c>
      <c r="CZA47" s="8" t="s">
        <v>433</v>
      </c>
      <c r="CZB47" s="32" t="s">
        <v>92</v>
      </c>
      <c r="CZC47" s="8" t="s">
        <v>132</v>
      </c>
      <c r="CZD47" s="22" t="s">
        <v>46</v>
      </c>
      <c r="CZE47" s="8" t="s">
        <v>433</v>
      </c>
      <c r="CZF47" s="32" t="s">
        <v>92</v>
      </c>
      <c r="CZG47" s="8" t="s">
        <v>132</v>
      </c>
      <c r="CZH47" s="22" t="s">
        <v>46</v>
      </c>
      <c r="CZI47" s="8" t="s">
        <v>433</v>
      </c>
      <c r="CZJ47" s="32" t="s">
        <v>92</v>
      </c>
      <c r="CZK47" s="8" t="s">
        <v>132</v>
      </c>
      <c r="CZL47" s="22" t="s">
        <v>46</v>
      </c>
      <c r="CZM47" s="8" t="s">
        <v>433</v>
      </c>
      <c r="CZN47" s="32" t="s">
        <v>92</v>
      </c>
      <c r="CZO47" s="8" t="s">
        <v>132</v>
      </c>
      <c r="CZP47" s="22" t="s">
        <v>46</v>
      </c>
      <c r="CZQ47" s="8" t="s">
        <v>433</v>
      </c>
      <c r="CZR47" s="32" t="s">
        <v>92</v>
      </c>
      <c r="CZS47" s="8" t="s">
        <v>132</v>
      </c>
      <c r="CZT47" s="22" t="s">
        <v>46</v>
      </c>
      <c r="CZU47" s="8" t="s">
        <v>433</v>
      </c>
      <c r="CZV47" s="32" t="s">
        <v>92</v>
      </c>
      <c r="CZW47" s="8" t="s">
        <v>132</v>
      </c>
      <c r="CZX47" s="22" t="s">
        <v>46</v>
      </c>
      <c r="CZY47" s="8" t="s">
        <v>433</v>
      </c>
      <c r="CZZ47" s="32" t="s">
        <v>92</v>
      </c>
      <c r="DAA47" s="8" t="s">
        <v>132</v>
      </c>
      <c r="DAB47" s="22" t="s">
        <v>46</v>
      </c>
      <c r="DAC47" s="8" t="s">
        <v>433</v>
      </c>
      <c r="DAD47" s="32" t="s">
        <v>92</v>
      </c>
      <c r="DAE47" s="8" t="s">
        <v>132</v>
      </c>
      <c r="DAF47" s="22" t="s">
        <v>46</v>
      </c>
      <c r="DAG47" s="8" t="s">
        <v>433</v>
      </c>
      <c r="DAH47" s="32" t="s">
        <v>92</v>
      </c>
      <c r="DAI47" s="8" t="s">
        <v>132</v>
      </c>
      <c r="DAJ47" s="22" t="s">
        <v>46</v>
      </c>
      <c r="DAK47" s="8" t="s">
        <v>433</v>
      </c>
      <c r="DAL47" s="32" t="s">
        <v>92</v>
      </c>
      <c r="DAM47" s="8" t="s">
        <v>132</v>
      </c>
      <c r="DAN47" s="22" t="s">
        <v>46</v>
      </c>
      <c r="DAO47" s="8" t="s">
        <v>433</v>
      </c>
      <c r="DAP47" s="32" t="s">
        <v>92</v>
      </c>
      <c r="DAQ47" s="8" t="s">
        <v>132</v>
      </c>
      <c r="DAR47" s="22" t="s">
        <v>46</v>
      </c>
      <c r="DAS47" s="8" t="s">
        <v>433</v>
      </c>
      <c r="DAT47" s="32" t="s">
        <v>92</v>
      </c>
      <c r="DAU47" s="8" t="s">
        <v>132</v>
      </c>
      <c r="DAV47" s="22" t="s">
        <v>46</v>
      </c>
      <c r="DAW47" s="8" t="s">
        <v>433</v>
      </c>
      <c r="DAX47" s="32" t="s">
        <v>92</v>
      </c>
      <c r="DAY47" s="8" t="s">
        <v>132</v>
      </c>
      <c r="DAZ47" s="22" t="s">
        <v>46</v>
      </c>
      <c r="DBA47" s="8" t="s">
        <v>433</v>
      </c>
      <c r="DBB47" s="32" t="s">
        <v>92</v>
      </c>
      <c r="DBC47" s="8" t="s">
        <v>132</v>
      </c>
      <c r="DBD47" s="22" t="s">
        <v>46</v>
      </c>
      <c r="DBE47" s="8" t="s">
        <v>433</v>
      </c>
      <c r="DBF47" s="32" t="s">
        <v>92</v>
      </c>
      <c r="DBG47" s="8" t="s">
        <v>132</v>
      </c>
      <c r="DBH47" s="22" t="s">
        <v>46</v>
      </c>
      <c r="DBI47" s="8" t="s">
        <v>433</v>
      </c>
      <c r="DBJ47" s="32" t="s">
        <v>92</v>
      </c>
      <c r="DBK47" s="8" t="s">
        <v>132</v>
      </c>
      <c r="DBL47" s="22" t="s">
        <v>46</v>
      </c>
      <c r="DBM47" s="8" t="s">
        <v>433</v>
      </c>
      <c r="DBN47" s="32" t="s">
        <v>92</v>
      </c>
      <c r="DBO47" s="8" t="s">
        <v>132</v>
      </c>
      <c r="DBP47" s="22" t="s">
        <v>46</v>
      </c>
      <c r="DBQ47" s="8" t="s">
        <v>433</v>
      </c>
      <c r="DBR47" s="32" t="s">
        <v>92</v>
      </c>
      <c r="DBS47" s="8" t="s">
        <v>132</v>
      </c>
      <c r="DBT47" s="22" t="s">
        <v>46</v>
      </c>
      <c r="DBU47" s="8" t="s">
        <v>433</v>
      </c>
      <c r="DBV47" s="32" t="s">
        <v>92</v>
      </c>
      <c r="DBW47" s="8" t="s">
        <v>132</v>
      </c>
      <c r="DBX47" s="22" t="s">
        <v>46</v>
      </c>
      <c r="DBY47" s="8" t="s">
        <v>433</v>
      </c>
      <c r="DBZ47" s="32" t="s">
        <v>92</v>
      </c>
      <c r="DCA47" s="8" t="s">
        <v>132</v>
      </c>
      <c r="DCB47" s="22" t="s">
        <v>46</v>
      </c>
      <c r="DCC47" s="8" t="s">
        <v>433</v>
      </c>
      <c r="DCD47" s="32" t="s">
        <v>92</v>
      </c>
      <c r="DCE47" s="8" t="s">
        <v>132</v>
      </c>
      <c r="DCF47" s="22" t="s">
        <v>46</v>
      </c>
      <c r="DCG47" s="8" t="s">
        <v>433</v>
      </c>
      <c r="DCH47" s="32" t="s">
        <v>92</v>
      </c>
      <c r="DCI47" s="8" t="s">
        <v>132</v>
      </c>
      <c r="DCJ47" s="22" t="s">
        <v>46</v>
      </c>
      <c r="DCK47" s="8" t="s">
        <v>433</v>
      </c>
      <c r="DCL47" s="32" t="s">
        <v>92</v>
      </c>
      <c r="DCM47" s="8" t="s">
        <v>132</v>
      </c>
      <c r="DCN47" s="22" t="s">
        <v>46</v>
      </c>
      <c r="DCO47" s="8" t="s">
        <v>433</v>
      </c>
      <c r="DCP47" s="32" t="s">
        <v>92</v>
      </c>
      <c r="DCQ47" s="8" t="s">
        <v>132</v>
      </c>
      <c r="DCR47" s="22" t="s">
        <v>46</v>
      </c>
      <c r="DCS47" s="8" t="s">
        <v>433</v>
      </c>
      <c r="DCT47" s="32" t="s">
        <v>92</v>
      </c>
      <c r="DCU47" s="8" t="s">
        <v>132</v>
      </c>
      <c r="DCV47" s="22" t="s">
        <v>46</v>
      </c>
      <c r="DCW47" s="8" t="s">
        <v>433</v>
      </c>
      <c r="DCX47" s="32" t="s">
        <v>92</v>
      </c>
      <c r="DCY47" s="8" t="s">
        <v>132</v>
      </c>
      <c r="DCZ47" s="22" t="s">
        <v>46</v>
      </c>
      <c r="DDA47" s="8" t="s">
        <v>433</v>
      </c>
      <c r="DDB47" s="32" t="s">
        <v>92</v>
      </c>
      <c r="DDC47" s="8" t="s">
        <v>132</v>
      </c>
      <c r="DDD47" s="22" t="s">
        <v>46</v>
      </c>
      <c r="DDE47" s="8" t="s">
        <v>433</v>
      </c>
      <c r="DDF47" s="32" t="s">
        <v>92</v>
      </c>
      <c r="DDG47" s="8" t="s">
        <v>132</v>
      </c>
      <c r="DDH47" s="22" t="s">
        <v>46</v>
      </c>
      <c r="DDI47" s="8" t="s">
        <v>433</v>
      </c>
      <c r="DDJ47" s="32" t="s">
        <v>92</v>
      </c>
      <c r="DDK47" s="8" t="s">
        <v>132</v>
      </c>
      <c r="DDL47" s="22" t="s">
        <v>46</v>
      </c>
      <c r="DDM47" s="8" t="s">
        <v>433</v>
      </c>
      <c r="DDN47" s="32" t="s">
        <v>92</v>
      </c>
      <c r="DDO47" s="8" t="s">
        <v>132</v>
      </c>
      <c r="DDP47" s="22" t="s">
        <v>46</v>
      </c>
      <c r="DDQ47" s="8" t="s">
        <v>433</v>
      </c>
      <c r="DDR47" s="32" t="s">
        <v>92</v>
      </c>
      <c r="DDS47" s="8" t="s">
        <v>132</v>
      </c>
      <c r="DDT47" s="22" t="s">
        <v>46</v>
      </c>
      <c r="DDU47" s="8" t="s">
        <v>433</v>
      </c>
      <c r="DDV47" s="32" t="s">
        <v>92</v>
      </c>
      <c r="DDW47" s="8" t="s">
        <v>132</v>
      </c>
      <c r="DDX47" s="22" t="s">
        <v>46</v>
      </c>
      <c r="DDY47" s="8" t="s">
        <v>433</v>
      </c>
      <c r="DDZ47" s="32" t="s">
        <v>92</v>
      </c>
      <c r="DEA47" s="8" t="s">
        <v>132</v>
      </c>
      <c r="DEB47" s="22" t="s">
        <v>46</v>
      </c>
      <c r="DEC47" s="8" t="s">
        <v>433</v>
      </c>
      <c r="DED47" s="32" t="s">
        <v>92</v>
      </c>
      <c r="DEE47" s="8" t="s">
        <v>132</v>
      </c>
      <c r="DEF47" s="22" t="s">
        <v>46</v>
      </c>
      <c r="DEG47" s="8" t="s">
        <v>433</v>
      </c>
      <c r="DEH47" s="32" t="s">
        <v>92</v>
      </c>
      <c r="DEI47" s="8" t="s">
        <v>132</v>
      </c>
      <c r="DEJ47" s="22" t="s">
        <v>46</v>
      </c>
      <c r="DEK47" s="8" t="s">
        <v>433</v>
      </c>
      <c r="DEL47" s="32" t="s">
        <v>92</v>
      </c>
      <c r="DEM47" s="8" t="s">
        <v>132</v>
      </c>
      <c r="DEN47" s="22" t="s">
        <v>46</v>
      </c>
      <c r="DEO47" s="8" t="s">
        <v>433</v>
      </c>
      <c r="DEP47" s="32" t="s">
        <v>92</v>
      </c>
      <c r="DEQ47" s="8" t="s">
        <v>132</v>
      </c>
      <c r="DER47" s="22" t="s">
        <v>46</v>
      </c>
      <c r="DES47" s="8" t="s">
        <v>433</v>
      </c>
      <c r="DET47" s="32" t="s">
        <v>92</v>
      </c>
      <c r="DEU47" s="8" t="s">
        <v>132</v>
      </c>
      <c r="DEV47" s="22" t="s">
        <v>46</v>
      </c>
      <c r="DEW47" s="8" t="s">
        <v>433</v>
      </c>
      <c r="DEX47" s="32" t="s">
        <v>92</v>
      </c>
      <c r="DEY47" s="8" t="s">
        <v>132</v>
      </c>
      <c r="DEZ47" s="22" t="s">
        <v>46</v>
      </c>
      <c r="DFA47" s="8" t="s">
        <v>433</v>
      </c>
      <c r="DFB47" s="32" t="s">
        <v>92</v>
      </c>
      <c r="DFC47" s="8" t="s">
        <v>132</v>
      </c>
      <c r="DFD47" s="22" t="s">
        <v>46</v>
      </c>
      <c r="DFE47" s="8" t="s">
        <v>433</v>
      </c>
      <c r="DFF47" s="32" t="s">
        <v>92</v>
      </c>
      <c r="DFG47" s="8" t="s">
        <v>132</v>
      </c>
      <c r="DFH47" s="22" t="s">
        <v>46</v>
      </c>
      <c r="DFI47" s="8" t="s">
        <v>433</v>
      </c>
      <c r="DFJ47" s="32" t="s">
        <v>92</v>
      </c>
      <c r="DFK47" s="8" t="s">
        <v>132</v>
      </c>
      <c r="DFL47" s="22" t="s">
        <v>46</v>
      </c>
      <c r="DFM47" s="8" t="s">
        <v>433</v>
      </c>
      <c r="DFN47" s="32" t="s">
        <v>92</v>
      </c>
      <c r="DFO47" s="8" t="s">
        <v>132</v>
      </c>
      <c r="DFP47" s="22" t="s">
        <v>46</v>
      </c>
      <c r="DFQ47" s="8" t="s">
        <v>433</v>
      </c>
      <c r="DFR47" s="32" t="s">
        <v>92</v>
      </c>
      <c r="DFS47" s="8" t="s">
        <v>132</v>
      </c>
      <c r="DFT47" s="22" t="s">
        <v>46</v>
      </c>
      <c r="DFU47" s="8" t="s">
        <v>433</v>
      </c>
      <c r="DFV47" s="32" t="s">
        <v>92</v>
      </c>
      <c r="DFW47" s="8" t="s">
        <v>132</v>
      </c>
      <c r="DFX47" s="22" t="s">
        <v>46</v>
      </c>
      <c r="DFY47" s="8" t="s">
        <v>433</v>
      </c>
      <c r="DFZ47" s="32" t="s">
        <v>92</v>
      </c>
      <c r="DGA47" s="8" t="s">
        <v>132</v>
      </c>
      <c r="DGB47" s="22" t="s">
        <v>46</v>
      </c>
      <c r="DGC47" s="8" t="s">
        <v>433</v>
      </c>
      <c r="DGD47" s="32" t="s">
        <v>92</v>
      </c>
      <c r="DGE47" s="8" t="s">
        <v>132</v>
      </c>
      <c r="DGF47" s="22" t="s">
        <v>46</v>
      </c>
      <c r="DGG47" s="8" t="s">
        <v>433</v>
      </c>
      <c r="DGH47" s="32" t="s">
        <v>92</v>
      </c>
      <c r="DGI47" s="8" t="s">
        <v>132</v>
      </c>
      <c r="DGJ47" s="22" t="s">
        <v>46</v>
      </c>
      <c r="DGK47" s="8" t="s">
        <v>433</v>
      </c>
      <c r="DGL47" s="32" t="s">
        <v>92</v>
      </c>
      <c r="DGM47" s="8" t="s">
        <v>132</v>
      </c>
      <c r="DGN47" s="22" t="s">
        <v>46</v>
      </c>
      <c r="DGO47" s="8" t="s">
        <v>433</v>
      </c>
      <c r="DGP47" s="32" t="s">
        <v>92</v>
      </c>
      <c r="DGQ47" s="8" t="s">
        <v>132</v>
      </c>
      <c r="DGR47" s="22" t="s">
        <v>46</v>
      </c>
      <c r="DGS47" s="8" t="s">
        <v>433</v>
      </c>
      <c r="DGT47" s="32" t="s">
        <v>92</v>
      </c>
      <c r="DGU47" s="8" t="s">
        <v>132</v>
      </c>
      <c r="DGV47" s="22" t="s">
        <v>46</v>
      </c>
      <c r="DGW47" s="8" t="s">
        <v>433</v>
      </c>
      <c r="DGX47" s="32" t="s">
        <v>92</v>
      </c>
      <c r="DGY47" s="8" t="s">
        <v>132</v>
      </c>
      <c r="DGZ47" s="22" t="s">
        <v>46</v>
      </c>
      <c r="DHA47" s="8" t="s">
        <v>433</v>
      </c>
      <c r="DHB47" s="32" t="s">
        <v>92</v>
      </c>
      <c r="DHC47" s="8" t="s">
        <v>132</v>
      </c>
      <c r="DHD47" s="22" t="s">
        <v>46</v>
      </c>
      <c r="DHE47" s="8" t="s">
        <v>433</v>
      </c>
      <c r="DHF47" s="32" t="s">
        <v>92</v>
      </c>
      <c r="DHG47" s="8" t="s">
        <v>132</v>
      </c>
      <c r="DHH47" s="22" t="s">
        <v>46</v>
      </c>
      <c r="DHI47" s="8" t="s">
        <v>433</v>
      </c>
      <c r="DHJ47" s="32" t="s">
        <v>92</v>
      </c>
      <c r="DHK47" s="8" t="s">
        <v>132</v>
      </c>
      <c r="DHL47" s="22" t="s">
        <v>46</v>
      </c>
      <c r="DHM47" s="8" t="s">
        <v>433</v>
      </c>
      <c r="DHN47" s="32" t="s">
        <v>92</v>
      </c>
      <c r="DHO47" s="8" t="s">
        <v>132</v>
      </c>
      <c r="DHP47" s="22" t="s">
        <v>46</v>
      </c>
      <c r="DHQ47" s="8" t="s">
        <v>433</v>
      </c>
      <c r="DHR47" s="32" t="s">
        <v>92</v>
      </c>
      <c r="DHS47" s="8" t="s">
        <v>132</v>
      </c>
      <c r="DHT47" s="22" t="s">
        <v>46</v>
      </c>
      <c r="DHU47" s="8" t="s">
        <v>433</v>
      </c>
      <c r="DHV47" s="32" t="s">
        <v>92</v>
      </c>
      <c r="DHW47" s="8" t="s">
        <v>132</v>
      </c>
      <c r="DHX47" s="22" t="s">
        <v>46</v>
      </c>
      <c r="DHY47" s="8" t="s">
        <v>433</v>
      </c>
      <c r="DHZ47" s="32" t="s">
        <v>92</v>
      </c>
      <c r="DIA47" s="8" t="s">
        <v>132</v>
      </c>
      <c r="DIB47" s="22" t="s">
        <v>46</v>
      </c>
      <c r="DIC47" s="8" t="s">
        <v>433</v>
      </c>
      <c r="DID47" s="32" t="s">
        <v>92</v>
      </c>
      <c r="DIE47" s="8" t="s">
        <v>132</v>
      </c>
      <c r="DIF47" s="22" t="s">
        <v>46</v>
      </c>
      <c r="DIG47" s="8" t="s">
        <v>433</v>
      </c>
      <c r="DIH47" s="32" t="s">
        <v>92</v>
      </c>
      <c r="DII47" s="8" t="s">
        <v>132</v>
      </c>
      <c r="DIJ47" s="22" t="s">
        <v>46</v>
      </c>
      <c r="DIK47" s="8" t="s">
        <v>433</v>
      </c>
      <c r="DIL47" s="32" t="s">
        <v>92</v>
      </c>
      <c r="DIM47" s="8" t="s">
        <v>132</v>
      </c>
      <c r="DIN47" s="22" t="s">
        <v>46</v>
      </c>
      <c r="DIO47" s="8" t="s">
        <v>433</v>
      </c>
      <c r="DIP47" s="32" t="s">
        <v>92</v>
      </c>
      <c r="DIQ47" s="8" t="s">
        <v>132</v>
      </c>
      <c r="DIR47" s="22" t="s">
        <v>46</v>
      </c>
      <c r="DIS47" s="8" t="s">
        <v>433</v>
      </c>
      <c r="DIT47" s="32" t="s">
        <v>92</v>
      </c>
      <c r="DIU47" s="8" t="s">
        <v>132</v>
      </c>
      <c r="DIV47" s="22" t="s">
        <v>46</v>
      </c>
      <c r="DIW47" s="8" t="s">
        <v>433</v>
      </c>
      <c r="DIX47" s="32" t="s">
        <v>92</v>
      </c>
      <c r="DIY47" s="8" t="s">
        <v>132</v>
      </c>
      <c r="DIZ47" s="22" t="s">
        <v>46</v>
      </c>
      <c r="DJA47" s="8" t="s">
        <v>433</v>
      </c>
      <c r="DJB47" s="32" t="s">
        <v>92</v>
      </c>
      <c r="DJC47" s="8" t="s">
        <v>132</v>
      </c>
      <c r="DJD47" s="22" t="s">
        <v>46</v>
      </c>
      <c r="DJE47" s="8" t="s">
        <v>433</v>
      </c>
      <c r="DJF47" s="32" t="s">
        <v>92</v>
      </c>
      <c r="DJG47" s="8" t="s">
        <v>132</v>
      </c>
      <c r="DJH47" s="22" t="s">
        <v>46</v>
      </c>
      <c r="DJI47" s="8" t="s">
        <v>433</v>
      </c>
      <c r="DJJ47" s="32" t="s">
        <v>92</v>
      </c>
      <c r="DJK47" s="8" t="s">
        <v>132</v>
      </c>
      <c r="DJL47" s="22" t="s">
        <v>46</v>
      </c>
      <c r="DJM47" s="8" t="s">
        <v>433</v>
      </c>
      <c r="DJN47" s="32" t="s">
        <v>92</v>
      </c>
      <c r="DJO47" s="8" t="s">
        <v>132</v>
      </c>
      <c r="DJP47" s="22" t="s">
        <v>46</v>
      </c>
      <c r="DJQ47" s="8" t="s">
        <v>433</v>
      </c>
      <c r="DJR47" s="32" t="s">
        <v>92</v>
      </c>
      <c r="DJS47" s="8" t="s">
        <v>132</v>
      </c>
      <c r="DJT47" s="22" t="s">
        <v>46</v>
      </c>
      <c r="DJU47" s="8" t="s">
        <v>433</v>
      </c>
      <c r="DJV47" s="32" t="s">
        <v>92</v>
      </c>
      <c r="DJW47" s="8" t="s">
        <v>132</v>
      </c>
      <c r="DJX47" s="22" t="s">
        <v>46</v>
      </c>
      <c r="DJY47" s="8" t="s">
        <v>433</v>
      </c>
      <c r="DJZ47" s="32" t="s">
        <v>92</v>
      </c>
      <c r="DKA47" s="8" t="s">
        <v>132</v>
      </c>
      <c r="DKB47" s="22" t="s">
        <v>46</v>
      </c>
      <c r="DKC47" s="8" t="s">
        <v>433</v>
      </c>
      <c r="DKD47" s="32" t="s">
        <v>92</v>
      </c>
      <c r="DKE47" s="8" t="s">
        <v>132</v>
      </c>
      <c r="DKF47" s="22" t="s">
        <v>46</v>
      </c>
      <c r="DKG47" s="8" t="s">
        <v>433</v>
      </c>
      <c r="DKH47" s="32" t="s">
        <v>92</v>
      </c>
      <c r="DKI47" s="8" t="s">
        <v>132</v>
      </c>
      <c r="DKJ47" s="22" t="s">
        <v>46</v>
      </c>
      <c r="DKK47" s="8" t="s">
        <v>433</v>
      </c>
      <c r="DKL47" s="32" t="s">
        <v>92</v>
      </c>
      <c r="DKM47" s="8" t="s">
        <v>132</v>
      </c>
      <c r="DKN47" s="22" t="s">
        <v>46</v>
      </c>
      <c r="DKO47" s="8" t="s">
        <v>433</v>
      </c>
      <c r="DKP47" s="32" t="s">
        <v>92</v>
      </c>
      <c r="DKQ47" s="8" t="s">
        <v>132</v>
      </c>
      <c r="DKR47" s="22" t="s">
        <v>46</v>
      </c>
      <c r="DKS47" s="8" t="s">
        <v>433</v>
      </c>
      <c r="DKT47" s="32" t="s">
        <v>92</v>
      </c>
      <c r="DKU47" s="8" t="s">
        <v>132</v>
      </c>
      <c r="DKV47" s="22" t="s">
        <v>46</v>
      </c>
      <c r="DKW47" s="8" t="s">
        <v>433</v>
      </c>
      <c r="DKX47" s="32" t="s">
        <v>92</v>
      </c>
      <c r="DKY47" s="8" t="s">
        <v>132</v>
      </c>
      <c r="DKZ47" s="22" t="s">
        <v>46</v>
      </c>
      <c r="DLA47" s="8" t="s">
        <v>433</v>
      </c>
      <c r="DLB47" s="32" t="s">
        <v>92</v>
      </c>
      <c r="DLC47" s="8" t="s">
        <v>132</v>
      </c>
      <c r="DLD47" s="22" t="s">
        <v>46</v>
      </c>
      <c r="DLE47" s="8" t="s">
        <v>433</v>
      </c>
      <c r="DLF47" s="32" t="s">
        <v>92</v>
      </c>
      <c r="DLG47" s="8" t="s">
        <v>132</v>
      </c>
      <c r="DLH47" s="22" t="s">
        <v>46</v>
      </c>
      <c r="DLI47" s="8" t="s">
        <v>433</v>
      </c>
      <c r="DLJ47" s="32" t="s">
        <v>92</v>
      </c>
      <c r="DLK47" s="8" t="s">
        <v>132</v>
      </c>
      <c r="DLL47" s="22" t="s">
        <v>46</v>
      </c>
      <c r="DLM47" s="8" t="s">
        <v>433</v>
      </c>
      <c r="DLN47" s="32" t="s">
        <v>92</v>
      </c>
      <c r="DLO47" s="8" t="s">
        <v>132</v>
      </c>
      <c r="DLP47" s="22" t="s">
        <v>46</v>
      </c>
      <c r="DLQ47" s="8" t="s">
        <v>433</v>
      </c>
      <c r="DLR47" s="32" t="s">
        <v>92</v>
      </c>
      <c r="DLS47" s="8" t="s">
        <v>132</v>
      </c>
      <c r="DLT47" s="22" t="s">
        <v>46</v>
      </c>
      <c r="DLU47" s="8" t="s">
        <v>433</v>
      </c>
      <c r="DLV47" s="32" t="s">
        <v>92</v>
      </c>
      <c r="DLW47" s="8" t="s">
        <v>132</v>
      </c>
      <c r="DLX47" s="22" t="s">
        <v>46</v>
      </c>
      <c r="DLY47" s="8" t="s">
        <v>433</v>
      </c>
      <c r="DLZ47" s="32" t="s">
        <v>92</v>
      </c>
      <c r="DMA47" s="8" t="s">
        <v>132</v>
      </c>
      <c r="DMB47" s="22" t="s">
        <v>46</v>
      </c>
      <c r="DMC47" s="8" t="s">
        <v>433</v>
      </c>
      <c r="DMD47" s="32" t="s">
        <v>92</v>
      </c>
      <c r="DME47" s="8" t="s">
        <v>132</v>
      </c>
      <c r="DMF47" s="22" t="s">
        <v>46</v>
      </c>
      <c r="DMG47" s="8" t="s">
        <v>433</v>
      </c>
      <c r="DMH47" s="32" t="s">
        <v>92</v>
      </c>
      <c r="DMI47" s="8" t="s">
        <v>132</v>
      </c>
      <c r="DMJ47" s="22" t="s">
        <v>46</v>
      </c>
      <c r="DMK47" s="8" t="s">
        <v>433</v>
      </c>
      <c r="DML47" s="32" t="s">
        <v>92</v>
      </c>
      <c r="DMM47" s="8" t="s">
        <v>132</v>
      </c>
      <c r="DMN47" s="22" t="s">
        <v>46</v>
      </c>
      <c r="DMO47" s="8" t="s">
        <v>433</v>
      </c>
      <c r="DMP47" s="32" t="s">
        <v>92</v>
      </c>
      <c r="DMQ47" s="8" t="s">
        <v>132</v>
      </c>
      <c r="DMR47" s="22" t="s">
        <v>46</v>
      </c>
      <c r="DMS47" s="8" t="s">
        <v>433</v>
      </c>
      <c r="DMT47" s="32" t="s">
        <v>92</v>
      </c>
      <c r="DMU47" s="8" t="s">
        <v>132</v>
      </c>
      <c r="DMV47" s="22" t="s">
        <v>46</v>
      </c>
      <c r="DMW47" s="8" t="s">
        <v>433</v>
      </c>
      <c r="DMX47" s="32" t="s">
        <v>92</v>
      </c>
      <c r="DMY47" s="8" t="s">
        <v>132</v>
      </c>
      <c r="DMZ47" s="22" t="s">
        <v>46</v>
      </c>
      <c r="DNA47" s="8" t="s">
        <v>433</v>
      </c>
      <c r="DNB47" s="32" t="s">
        <v>92</v>
      </c>
      <c r="DNC47" s="8" t="s">
        <v>132</v>
      </c>
      <c r="DND47" s="22" t="s">
        <v>46</v>
      </c>
      <c r="DNE47" s="8" t="s">
        <v>433</v>
      </c>
      <c r="DNF47" s="32" t="s">
        <v>92</v>
      </c>
      <c r="DNG47" s="8" t="s">
        <v>132</v>
      </c>
      <c r="DNH47" s="22" t="s">
        <v>46</v>
      </c>
      <c r="DNI47" s="8" t="s">
        <v>433</v>
      </c>
      <c r="DNJ47" s="32" t="s">
        <v>92</v>
      </c>
      <c r="DNK47" s="8" t="s">
        <v>132</v>
      </c>
      <c r="DNL47" s="22" t="s">
        <v>46</v>
      </c>
      <c r="DNM47" s="8" t="s">
        <v>433</v>
      </c>
      <c r="DNN47" s="32" t="s">
        <v>92</v>
      </c>
      <c r="DNO47" s="8" t="s">
        <v>132</v>
      </c>
      <c r="DNP47" s="22" t="s">
        <v>46</v>
      </c>
      <c r="DNQ47" s="8" t="s">
        <v>433</v>
      </c>
      <c r="DNR47" s="32" t="s">
        <v>92</v>
      </c>
      <c r="DNS47" s="8" t="s">
        <v>132</v>
      </c>
      <c r="DNT47" s="22" t="s">
        <v>46</v>
      </c>
      <c r="DNU47" s="8" t="s">
        <v>433</v>
      </c>
      <c r="DNV47" s="32" t="s">
        <v>92</v>
      </c>
      <c r="DNW47" s="8" t="s">
        <v>132</v>
      </c>
      <c r="DNX47" s="22" t="s">
        <v>46</v>
      </c>
      <c r="DNY47" s="8" t="s">
        <v>433</v>
      </c>
      <c r="DNZ47" s="32" t="s">
        <v>92</v>
      </c>
      <c r="DOA47" s="8" t="s">
        <v>132</v>
      </c>
      <c r="DOB47" s="22" t="s">
        <v>46</v>
      </c>
      <c r="DOC47" s="8" t="s">
        <v>433</v>
      </c>
      <c r="DOD47" s="32" t="s">
        <v>92</v>
      </c>
      <c r="DOE47" s="8" t="s">
        <v>132</v>
      </c>
      <c r="DOF47" s="22" t="s">
        <v>46</v>
      </c>
      <c r="DOG47" s="8" t="s">
        <v>433</v>
      </c>
      <c r="DOH47" s="32" t="s">
        <v>92</v>
      </c>
      <c r="DOI47" s="8" t="s">
        <v>132</v>
      </c>
      <c r="DOJ47" s="22" t="s">
        <v>46</v>
      </c>
      <c r="DOK47" s="8" t="s">
        <v>433</v>
      </c>
      <c r="DOL47" s="32" t="s">
        <v>92</v>
      </c>
      <c r="DOM47" s="8" t="s">
        <v>132</v>
      </c>
      <c r="DON47" s="22" t="s">
        <v>46</v>
      </c>
      <c r="DOO47" s="8" t="s">
        <v>433</v>
      </c>
      <c r="DOP47" s="32" t="s">
        <v>92</v>
      </c>
      <c r="DOQ47" s="8" t="s">
        <v>132</v>
      </c>
      <c r="DOR47" s="22" t="s">
        <v>46</v>
      </c>
      <c r="DOS47" s="8" t="s">
        <v>433</v>
      </c>
      <c r="DOT47" s="32" t="s">
        <v>92</v>
      </c>
      <c r="DOU47" s="8" t="s">
        <v>132</v>
      </c>
      <c r="DOV47" s="22" t="s">
        <v>46</v>
      </c>
      <c r="DOW47" s="8" t="s">
        <v>433</v>
      </c>
      <c r="DOX47" s="32" t="s">
        <v>92</v>
      </c>
      <c r="DOY47" s="8" t="s">
        <v>132</v>
      </c>
      <c r="DOZ47" s="22" t="s">
        <v>46</v>
      </c>
      <c r="DPA47" s="8" t="s">
        <v>433</v>
      </c>
      <c r="DPB47" s="32" t="s">
        <v>92</v>
      </c>
      <c r="DPC47" s="8" t="s">
        <v>132</v>
      </c>
      <c r="DPD47" s="22" t="s">
        <v>46</v>
      </c>
      <c r="DPE47" s="8" t="s">
        <v>433</v>
      </c>
      <c r="DPF47" s="32" t="s">
        <v>92</v>
      </c>
      <c r="DPG47" s="8" t="s">
        <v>132</v>
      </c>
      <c r="DPH47" s="22" t="s">
        <v>46</v>
      </c>
      <c r="DPI47" s="8" t="s">
        <v>433</v>
      </c>
      <c r="DPJ47" s="32" t="s">
        <v>92</v>
      </c>
      <c r="DPK47" s="8" t="s">
        <v>132</v>
      </c>
      <c r="DPL47" s="22" t="s">
        <v>46</v>
      </c>
      <c r="DPM47" s="8" t="s">
        <v>433</v>
      </c>
      <c r="DPN47" s="32" t="s">
        <v>92</v>
      </c>
      <c r="DPO47" s="8" t="s">
        <v>132</v>
      </c>
      <c r="DPP47" s="22" t="s">
        <v>46</v>
      </c>
      <c r="DPQ47" s="8" t="s">
        <v>433</v>
      </c>
      <c r="DPR47" s="32" t="s">
        <v>92</v>
      </c>
      <c r="DPS47" s="8" t="s">
        <v>132</v>
      </c>
      <c r="DPT47" s="22" t="s">
        <v>46</v>
      </c>
      <c r="DPU47" s="8" t="s">
        <v>433</v>
      </c>
      <c r="DPV47" s="32" t="s">
        <v>92</v>
      </c>
      <c r="DPW47" s="8" t="s">
        <v>132</v>
      </c>
      <c r="DPX47" s="22" t="s">
        <v>46</v>
      </c>
      <c r="DPY47" s="8" t="s">
        <v>433</v>
      </c>
      <c r="DPZ47" s="32" t="s">
        <v>92</v>
      </c>
      <c r="DQA47" s="8" t="s">
        <v>132</v>
      </c>
      <c r="DQB47" s="22" t="s">
        <v>46</v>
      </c>
      <c r="DQC47" s="8" t="s">
        <v>433</v>
      </c>
      <c r="DQD47" s="32" t="s">
        <v>92</v>
      </c>
      <c r="DQE47" s="8" t="s">
        <v>132</v>
      </c>
      <c r="DQF47" s="22" t="s">
        <v>46</v>
      </c>
      <c r="DQG47" s="8" t="s">
        <v>433</v>
      </c>
      <c r="DQH47" s="32" t="s">
        <v>92</v>
      </c>
      <c r="DQI47" s="8" t="s">
        <v>132</v>
      </c>
      <c r="DQJ47" s="22" t="s">
        <v>46</v>
      </c>
      <c r="DQK47" s="8" t="s">
        <v>433</v>
      </c>
      <c r="DQL47" s="32" t="s">
        <v>92</v>
      </c>
      <c r="DQM47" s="8" t="s">
        <v>132</v>
      </c>
      <c r="DQN47" s="22" t="s">
        <v>46</v>
      </c>
      <c r="DQO47" s="8" t="s">
        <v>433</v>
      </c>
      <c r="DQP47" s="32" t="s">
        <v>92</v>
      </c>
      <c r="DQQ47" s="8" t="s">
        <v>132</v>
      </c>
      <c r="DQR47" s="22" t="s">
        <v>46</v>
      </c>
      <c r="DQS47" s="8" t="s">
        <v>433</v>
      </c>
      <c r="DQT47" s="32" t="s">
        <v>92</v>
      </c>
      <c r="DQU47" s="8" t="s">
        <v>132</v>
      </c>
      <c r="DQV47" s="22" t="s">
        <v>46</v>
      </c>
      <c r="DQW47" s="8" t="s">
        <v>433</v>
      </c>
      <c r="DQX47" s="32" t="s">
        <v>92</v>
      </c>
      <c r="DQY47" s="8" t="s">
        <v>132</v>
      </c>
      <c r="DQZ47" s="22" t="s">
        <v>46</v>
      </c>
      <c r="DRA47" s="8" t="s">
        <v>433</v>
      </c>
      <c r="DRB47" s="32" t="s">
        <v>92</v>
      </c>
      <c r="DRC47" s="8" t="s">
        <v>132</v>
      </c>
      <c r="DRD47" s="22" t="s">
        <v>46</v>
      </c>
      <c r="DRE47" s="8" t="s">
        <v>433</v>
      </c>
      <c r="DRF47" s="32" t="s">
        <v>92</v>
      </c>
      <c r="DRG47" s="8" t="s">
        <v>132</v>
      </c>
      <c r="DRH47" s="22" t="s">
        <v>46</v>
      </c>
      <c r="DRI47" s="8" t="s">
        <v>433</v>
      </c>
      <c r="DRJ47" s="32" t="s">
        <v>92</v>
      </c>
      <c r="DRK47" s="8" t="s">
        <v>132</v>
      </c>
      <c r="DRL47" s="22" t="s">
        <v>46</v>
      </c>
      <c r="DRM47" s="8" t="s">
        <v>433</v>
      </c>
      <c r="DRN47" s="32" t="s">
        <v>92</v>
      </c>
      <c r="DRO47" s="8" t="s">
        <v>132</v>
      </c>
      <c r="DRP47" s="22" t="s">
        <v>46</v>
      </c>
      <c r="DRQ47" s="8" t="s">
        <v>433</v>
      </c>
      <c r="DRR47" s="32" t="s">
        <v>92</v>
      </c>
      <c r="DRS47" s="8" t="s">
        <v>132</v>
      </c>
      <c r="DRT47" s="22" t="s">
        <v>46</v>
      </c>
      <c r="DRU47" s="8" t="s">
        <v>433</v>
      </c>
      <c r="DRV47" s="32" t="s">
        <v>92</v>
      </c>
      <c r="DRW47" s="8" t="s">
        <v>132</v>
      </c>
      <c r="DRX47" s="22" t="s">
        <v>46</v>
      </c>
      <c r="DRY47" s="8" t="s">
        <v>433</v>
      </c>
      <c r="DRZ47" s="32" t="s">
        <v>92</v>
      </c>
      <c r="DSA47" s="8" t="s">
        <v>132</v>
      </c>
      <c r="DSB47" s="22" t="s">
        <v>46</v>
      </c>
      <c r="DSC47" s="8" t="s">
        <v>433</v>
      </c>
      <c r="DSD47" s="32" t="s">
        <v>92</v>
      </c>
      <c r="DSE47" s="8" t="s">
        <v>132</v>
      </c>
      <c r="DSF47" s="22" t="s">
        <v>46</v>
      </c>
      <c r="DSG47" s="8" t="s">
        <v>433</v>
      </c>
      <c r="DSH47" s="32" t="s">
        <v>92</v>
      </c>
      <c r="DSI47" s="8" t="s">
        <v>132</v>
      </c>
      <c r="DSJ47" s="22" t="s">
        <v>46</v>
      </c>
      <c r="DSK47" s="8" t="s">
        <v>433</v>
      </c>
      <c r="DSL47" s="32" t="s">
        <v>92</v>
      </c>
      <c r="DSM47" s="8" t="s">
        <v>132</v>
      </c>
      <c r="DSN47" s="22" t="s">
        <v>46</v>
      </c>
      <c r="DSO47" s="8" t="s">
        <v>433</v>
      </c>
      <c r="DSP47" s="32" t="s">
        <v>92</v>
      </c>
      <c r="DSQ47" s="8" t="s">
        <v>132</v>
      </c>
      <c r="DSR47" s="22" t="s">
        <v>46</v>
      </c>
      <c r="DSS47" s="8" t="s">
        <v>433</v>
      </c>
      <c r="DST47" s="32" t="s">
        <v>92</v>
      </c>
      <c r="DSU47" s="8" t="s">
        <v>132</v>
      </c>
      <c r="DSV47" s="22" t="s">
        <v>46</v>
      </c>
      <c r="DSW47" s="8" t="s">
        <v>433</v>
      </c>
      <c r="DSX47" s="32" t="s">
        <v>92</v>
      </c>
      <c r="DSY47" s="8" t="s">
        <v>132</v>
      </c>
      <c r="DSZ47" s="22" t="s">
        <v>46</v>
      </c>
      <c r="DTA47" s="8" t="s">
        <v>433</v>
      </c>
      <c r="DTB47" s="32" t="s">
        <v>92</v>
      </c>
      <c r="DTC47" s="8" t="s">
        <v>132</v>
      </c>
      <c r="DTD47" s="22" t="s">
        <v>46</v>
      </c>
      <c r="DTE47" s="8" t="s">
        <v>433</v>
      </c>
      <c r="DTF47" s="32" t="s">
        <v>92</v>
      </c>
      <c r="DTG47" s="8" t="s">
        <v>132</v>
      </c>
      <c r="DTH47" s="22" t="s">
        <v>46</v>
      </c>
      <c r="DTI47" s="8" t="s">
        <v>433</v>
      </c>
      <c r="DTJ47" s="32" t="s">
        <v>92</v>
      </c>
      <c r="DTK47" s="8" t="s">
        <v>132</v>
      </c>
      <c r="DTL47" s="22" t="s">
        <v>46</v>
      </c>
      <c r="DTM47" s="8" t="s">
        <v>433</v>
      </c>
      <c r="DTN47" s="32" t="s">
        <v>92</v>
      </c>
      <c r="DTO47" s="8" t="s">
        <v>132</v>
      </c>
      <c r="DTP47" s="22" t="s">
        <v>46</v>
      </c>
      <c r="DTQ47" s="8" t="s">
        <v>433</v>
      </c>
      <c r="DTR47" s="32" t="s">
        <v>92</v>
      </c>
      <c r="DTS47" s="8" t="s">
        <v>132</v>
      </c>
      <c r="DTT47" s="22" t="s">
        <v>46</v>
      </c>
      <c r="DTU47" s="8" t="s">
        <v>433</v>
      </c>
      <c r="DTV47" s="32" t="s">
        <v>92</v>
      </c>
      <c r="DTW47" s="8" t="s">
        <v>132</v>
      </c>
      <c r="DTX47" s="22" t="s">
        <v>46</v>
      </c>
      <c r="DTY47" s="8" t="s">
        <v>433</v>
      </c>
      <c r="DTZ47" s="32" t="s">
        <v>92</v>
      </c>
      <c r="DUA47" s="8" t="s">
        <v>132</v>
      </c>
      <c r="DUB47" s="22" t="s">
        <v>46</v>
      </c>
      <c r="DUC47" s="8" t="s">
        <v>433</v>
      </c>
      <c r="DUD47" s="32" t="s">
        <v>92</v>
      </c>
      <c r="DUE47" s="8" t="s">
        <v>132</v>
      </c>
      <c r="DUF47" s="22" t="s">
        <v>46</v>
      </c>
      <c r="DUG47" s="8" t="s">
        <v>433</v>
      </c>
      <c r="DUH47" s="32" t="s">
        <v>92</v>
      </c>
      <c r="DUI47" s="8" t="s">
        <v>132</v>
      </c>
      <c r="DUJ47" s="22" t="s">
        <v>46</v>
      </c>
      <c r="DUK47" s="8" t="s">
        <v>433</v>
      </c>
      <c r="DUL47" s="32" t="s">
        <v>92</v>
      </c>
      <c r="DUM47" s="8" t="s">
        <v>132</v>
      </c>
      <c r="DUN47" s="22" t="s">
        <v>46</v>
      </c>
      <c r="DUO47" s="8" t="s">
        <v>433</v>
      </c>
      <c r="DUP47" s="32" t="s">
        <v>92</v>
      </c>
      <c r="DUQ47" s="8" t="s">
        <v>132</v>
      </c>
      <c r="DUR47" s="22" t="s">
        <v>46</v>
      </c>
      <c r="DUS47" s="8" t="s">
        <v>433</v>
      </c>
      <c r="DUT47" s="32" t="s">
        <v>92</v>
      </c>
      <c r="DUU47" s="8" t="s">
        <v>132</v>
      </c>
      <c r="DUV47" s="22" t="s">
        <v>46</v>
      </c>
      <c r="DUW47" s="8" t="s">
        <v>433</v>
      </c>
      <c r="DUX47" s="32" t="s">
        <v>92</v>
      </c>
      <c r="DUY47" s="8" t="s">
        <v>132</v>
      </c>
      <c r="DUZ47" s="22" t="s">
        <v>46</v>
      </c>
      <c r="DVA47" s="8" t="s">
        <v>433</v>
      </c>
      <c r="DVB47" s="32" t="s">
        <v>92</v>
      </c>
      <c r="DVC47" s="8" t="s">
        <v>132</v>
      </c>
      <c r="DVD47" s="22" t="s">
        <v>46</v>
      </c>
      <c r="DVE47" s="8" t="s">
        <v>433</v>
      </c>
      <c r="DVF47" s="32" t="s">
        <v>92</v>
      </c>
      <c r="DVG47" s="8" t="s">
        <v>132</v>
      </c>
      <c r="DVH47" s="22" t="s">
        <v>46</v>
      </c>
      <c r="DVI47" s="8" t="s">
        <v>433</v>
      </c>
      <c r="DVJ47" s="32" t="s">
        <v>92</v>
      </c>
      <c r="DVK47" s="8" t="s">
        <v>132</v>
      </c>
      <c r="DVL47" s="22" t="s">
        <v>46</v>
      </c>
      <c r="DVM47" s="8" t="s">
        <v>433</v>
      </c>
      <c r="DVN47" s="32" t="s">
        <v>92</v>
      </c>
      <c r="DVO47" s="8" t="s">
        <v>132</v>
      </c>
      <c r="DVP47" s="22" t="s">
        <v>46</v>
      </c>
      <c r="DVQ47" s="8" t="s">
        <v>433</v>
      </c>
      <c r="DVR47" s="32" t="s">
        <v>92</v>
      </c>
      <c r="DVS47" s="8" t="s">
        <v>132</v>
      </c>
      <c r="DVT47" s="22" t="s">
        <v>46</v>
      </c>
      <c r="DVU47" s="8" t="s">
        <v>433</v>
      </c>
      <c r="DVV47" s="32" t="s">
        <v>92</v>
      </c>
      <c r="DVW47" s="8" t="s">
        <v>132</v>
      </c>
      <c r="DVX47" s="22" t="s">
        <v>46</v>
      </c>
      <c r="DVY47" s="8" t="s">
        <v>433</v>
      </c>
      <c r="DVZ47" s="32" t="s">
        <v>92</v>
      </c>
      <c r="DWA47" s="8" t="s">
        <v>132</v>
      </c>
      <c r="DWB47" s="22" t="s">
        <v>46</v>
      </c>
      <c r="DWC47" s="8" t="s">
        <v>433</v>
      </c>
      <c r="DWD47" s="32" t="s">
        <v>92</v>
      </c>
      <c r="DWE47" s="8" t="s">
        <v>132</v>
      </c>
      <c r="DWF47" s="22" t="s">
        <v>46</v>
      </c>
      <c r="DWG47" s="8" t="s">
        <v>433</v>
      </c>
      <c r="DWH47" s="32" t="s">
        <v>92</v>
      </c>
      <c r="DWI47" s="8" t="s">
        <v>132</v>
      </c>
      <c r="DWJ47" s="22" t="s">
        <v>46</v>
      </c>
      <c r="DWK47" s="8" t="s">
        <v>433</v>
      </c>
      <c r="DWL47" s="32" t="s">
        <v>92</v>
      </c>
      <c r="DWM47" s="8" t="s">
        <v>132</v>
      </c>
      <c r="DWN47" s="22" t="s">
        <v>46</v>
      </c>
      <c r="DWO47" s="8" t="s">
        <v>433</v>
      </c>
      <c r="DWP47" s="32" t="s">
        <v>92</v>
      </c>
      <c r="DWQ47" s="8" t="s">
        <v>132</v>
      </c>
      <c r="DWR47" s="22" t="s">
        <v>46</v>
      </c>
      <c r="DWS47" s="8" t="s">
        <v>433</v>
      </c>
      <c r="DWT47" s="32" t="s">
        <v>92</v>
      </c>
      <c r="DWU47" s="8" t="s">
        <v>132</v>
      </c>
      <c r="DWV47" s="22" t="s">
        <v>46</v>
      </c>
      <c r="DWW47" s="8" t="s">
        <v>433</v>
      </c>
      <c r="DWX47" s="32" t="s">
        <v>92</v>
      </c>
      <c r="DWY47" s="8" t="s">
        <v>132</v>
      </c>
      <c r="DWZ47" s="22" t="s">
        <v>46</v>
      </c>
      <c r="DXA47" s="8" t="s">
        <v>433</v>
      </c>
      <c r="DXB47" s="32" t="s">
        <v>92</v>
      </c>
      <c r="DXC47" s="8" t="s">
        <v>132</v>
      </c>
      <c r="DXD47" s="22" t="s">
        <v>46</v>
      </c>
      <c r="DXE47" s="8" t="s">
        <v>433</v>
      </c>
      <c r="DXF47" s="32" t="s">
        <v>92</v>
      </c>
      <c r="DXG47" s="8" t="s">
        <v>132</v>
      </c>
      <c r="DXH47" s="22" t="s">
        <v>46</v>
      </c>
      <c r="DXI47" s="8" t="s">
        <v>433</v>
      </c>
      <c r="DXJ47" s="32" t="s">
        <v>92</v>
      </c>
      <c r="DXK47" s="8" t="s">
        <v>132</v>
      </c>
      <c r="DXL47" s="22" t="s">
        <v>46</v>
      </c>
      <c r="DXM47" s="8" t="s">
        <v>433</v>
      </c>
      <c r="DXN47" s="32" t="s">
        <v>92</v>
      </c>
      <c r="DXO47" s="8" t="s">
        <v>132</v>
      </c>
      <c r="DXP47" s="22" t="s">
        <v>46</v>
      </c>
      <c r="DXQ47" s="8" t="s">
        <v>433</v>
      </c>
      <c r="DXR47" s="32" t="s">
        <v>92</v>
      </c>
      <c r="DXS47" s="8" t="s">
        <v>132</v>
      </c>
      <c r="DXT47" s="22" t="s">
        <v>46</v>
      </c>
      <c r="DXU47" s="8" t="s">
        <v>433</v>
      </c>
      <c r="DXV47" s="32" t="s">
        <v>92</v>
      </c>
      <c r="DXW47" s="8" t="s">
        <v>132</v>
      </c>
      <c r="DXX47" s="22" t="s">
        <v>46</v>
      </c>
      <c r="DXY47" s="8" t="s">
        <v>433</v>
      </c>
      <c r="DXZ47" s="32" t="s">
        <v>92</v>
      </c>
      <c r="DYA47" s="8" t="s">
        <v>132</v>
      </c>
      <c r="DYB47" s="22" t="s">
        <v>46</v>
      </c>
      <c r="DYC47" s="8" t="s">
        <v>433</v>
      </c>
      <c r="DYD47" s="32" t="s">
        <v>92</v>
      </c>
      <c r="DYE47" s="8" t="s">
        <v>132</v>
      </c>
      <c r="DYF47" s="22" t="s">
        <v>46</v>
      </c>
      <c r="DYG47" s="8" t="s">
        <v>433</v>
      </c>
      <c r="DYH47" s="32" t="s">
        <v>92</v>
      </c>
      <c r="DYI47" s="8" t="s">
        <v>132</v>
      </c>
      <c r="DYJ47" s="22" t="s">
        <v>46</v>
      </c>
      <c r="DYK47" s="8" t="s">
        <v>433</v>
      </c>
      <c r="DYL47" s="32" t="s">
        <v>92</v>
      </c>
      <c r="DYM47" s="8" t="s">
        <v>132</v>
      </c>
      <c r="DYN47" s="22" t="s">
        <v>46</v>
      </c>
      <c r="DYO47" s="8" t="s">
        <v>433</v>
      </c>
      <c r="DYP47" s="32" t="s">
        <v>92</v>
      </c>
      <c r="DYQ47" s="8" t="s">
        <v>132</v>
      </c>
      <c r="DYR47" s="22" t="s">
        <v>46</v>
      </c>
      <c r="DYS47" s="8" t="s">
        <v>433</v>
      </c>
      <c r="DYT47" s="32" t="s">
        <v>92</v>
      </c>
      <c r="DYU47" s="8" t="s">
        <v>132</v>
      </c>
      <c r="DYV47" s="22" t="s">
        <v>46</v>
      </c>
      <c r="DYW47" s="8" t="s">
        <v>433</v>
      </c>
      <c r="DYX47" s="32" t="s">
        <v>92</v>
      </c>
      <c r="DYY47" s="8" t="s">
        <v>132</v>
      </c>
      <c r="DYZ47" s="22" t="s">
        <v>46</v>
      </c>
      <c r="DZA47" s="8" t="s">
        <v>433</v>
      </c>
      <c r="DZB47" s="32" t="s">
        <v>92</v>
      </c>
      <c r="DZC47" s="8" t="s">
        <v>132</v>
      </c>
      <c r="DZD47" s="22" t="s">
        <v>46</v>
      </c>
      <c r="DZE47" s="8" t="s">
        <v>433</v>
      </c>
      <c r="DZF47" s="32" t="s">
        <v>92</v>
      </c>
      <c r="DZG47" s="8" t="s">
        <v>132</v>
      </c>
      <c r="DZH47" s="22" t="s">
        <v>46</v>
      </c>
      <c r="DZI47" s="8" t="s">
        <v>433</v>
      </c>
      <c r="DZJ47" s="32" t="s">
        <v>92</v>
      </c>
      <c r="DZK47" s="8" t="s">
        <v>132</v>
      </c>
      <c r="DZL47" s="22" t="s">
        <v>46</v>
      </c>
      <c r="DZM47" s="8" t="s">
        <v>433</v>
      </c>
      <c r="DZN47" s="32" t="s">
        <v>92</v>
      </c>
      <c r="DZO47" s="8" t="s">
        <v>132</v>
      </c>
      <c r="DZP47" s="22" t="s">
        <v>46</v>
      </c>
      <c r="DZQ47" s="8" t="s">
        <v>433</v>
      </c>
      <c r="DZR47" s="32" t="s">
        <v>92</v>
      </c>
      <c r="DZS47" s="8" t="s">
        <v>132</v>
      </c>
      <c r="DZT47" s="22" t="s">
        <v>46</v>
      </c>
      <c r="DZU47" s="8" t="s">
        <v>433</v>
      </c>
      <c r="DZV47" s="32" t="s">
        <v>92</v>
      </c>
      <c r="DZW47" s="8" t="s">
        <v>132</v>
      </c>
      <c r="DZX47" s="22" t="s">
        <v>46</v>
      </c>
      <c r="DZY47" s="8" t="s">
        <v>433</v>
      </c>
      <c r="DZZ47" s="32" t="s">
        <v>92</v>
      </c>
      <c r="EAA47" s="8" t="s">
        <v>132</v>
      </c>
      <c r="EAB47" s="22" t="s">
        <v>46</v>
      </c>
      <c r="EAC47" s="8" t="s">
        <v>433</v>
      </c>
      <c r="EAD47" s="32" t="s">
        <v>92</v>
      </c>
      <c r="EAE47" s="8" t="s">
        <v>132</v>
      </c>
      <c r="EAF47" s="22" t="s">
        <v>46</v>
      </c>
      <c r="EAG47" s="8" t="s">
        <v>433</v>
      </c>
      <c r="EAH47" s="32" t="s">
        <v>92</v>
      </c>
      <c r="EAI47" s="8" t="s">
        <v>132</v>
      </c>
      <c r="EAJ47" s="22" t="s">
        <v>46</v>
      </c>
      <c r="EAK47" s="8" t="s">
        <v>433</v>
      </c>
      <c r="EAL47" s="32" t="s">
        <v>92</v>
      </c>
      <c r="EAM47" s="8" t="s">
        <v>132</v>
      </c>
      <c r="EAN47" s="22" t="s">
        <v>46</v>
      </c>
      <c r="EAO47" s="8" t="s">
        <v>433</v>
      </c>
      <c r="EAP47" s="32" t="s">
        <v>92</v>
      </c>
      <c r="EAQ47" s="8" t="s">
        <v>132</v>
      </c>
      <c r="EAR47" s="22" t="s">
        <v>46</v>
      </c>
      <c r="EAS47" s="8" t="s">
        <v>433</v>
      </c>
      <c r="EAT47" s="32" t="s">
        <v>92</v>
      </c>
      <c r="EAU47" s="8" t="s">
        <v>132</v>
      </c>
      <c r="EAV47" s="22" t="s">
        <v>46</v>
      </c>
      <c r="EAW47" s="8" t="s">
        <v>433</v>
      </c>
      <c r="EAX47" s="32" t="s">
        <v>92</v>
      </c>
      <c r="EAY47" s="8" t="s">
        <v>132</v>
      </c>
      <c r="EAZ47" s="22" t="s">
        <v>46</v>
      </c>
      <c r="EBA47" s="8" t="s">
        <v>433</v>
      </c>
      <c r="EBB47" s="32" t="s">
        <v>92</v>
      </c>
      <c r="EBC47" s="8" t="s">
        <v>132</v>
      </c>
      <c r="EBD47" s="22" t="s">
        <v>46</v>
      </c>
      <c r="EBE47" s="8" t="s">
        <v>433</v>
      </c>
      <c r="EBF47" s="32" t="s">
        <v>92</v>
      </c>
      <c r="EBG47" s="8" t="s">
        <v>132</v>
      </c>
      <c r="EBH47" s="22" t="s">
        <v>46</v>
      </c>
      <c r="EBI47" s="8" t="s">
        <v>433</v>
      </c>
      <c r="EBJ47" s="32" t="s">
        <v>92</v>
      </c>
      <c r="EBK47" s="8" t="s">
        <v>132</v>
      </c>
      <c r="EBL47" s="22" t="s">
        <v>46</v>
      </c>
      <c r="EBM47" s="8" t="s">
        <v>433</v>
      </c>
      <c r="EBN47" s="32" t="s">
        <v>92</v>
      </c>
      <c r="EBO47" s="8" t="s">
        <v>132</v>
      </c>
      <c r="EBP47" s="22" t="s">
        <v>46</v>
      </c>
      <c r="EBQ47" s="8" t="s">
        <v>433</v>
      </c>
      <c r="EBR47" s="32" t="s">
        <v>92</v>
      </c>
      <c r="EBS47" s="8" t="s">
        <v>132</v>
      </c>
      <c r="EBT47" s="22" t="s">
        <v>46</v>
      </c>
      <c r="EBU47" s="8" t="s">
        <v>433</v>
      </c>
      <c r="EBV47" s="32" t="s">
        <v>92</v>
      </c>
      <c r="EBW47" s="8" t="s">
        <v>132</v>
      </c>
      <c r="EBX47" s="22" t="s">
        <v>46</v>
      </c>
      <c r="EBY47" s="8" t="s">
        <v>433</v>
      </c>
      <c r="EBZ47" s="32" t="s">
        <v>92</v>
      </c>
      <c r="ECA47" s="8" t="s">
        <v>132</v>
      </c>
      <c r="ECB47" s="22" t="s">
        <v>46</v>
      </c>
      <c r="ECC47" s="8" t="s">
        <v>433</v>
      </c>
      <c r="ECD47" s="32" t="s">
        <v>92</v>
      </c>
      <c r="ECE47" s="8" t="s">
        <v>132</v>
      </c>
      <c r="ECF47" s="22" t="s">
        <v>46</v>
      </c>
      <c r="ECG47" s="8" t="s">
        <v>433</v>
      </c>
      <c r="ECH47" s="32" t="s">
        <v>92</v>
      </c>
      <c r="ECI47" s="8" t="s">
        <v>132</v>
      </c>
      <c r="ECJ47" s="22" t="s">
        <v>46</v>
      </c>
      <c r="ECK47" s="8" t="s">
        <v>433</v>
      </c>
      <c r="ECL47" s="32" t="s">
        <v>92</v>
      </c>
      <c r="ECM47" s="8" t="s">
        <v>132</v>
      </c>
      <c r="ECN47" s="22" t="s">
        <v>46</v>
      </c>
      <c r="ECO47" s="8" t="s">
        <v>433</v>
      </c>
      <c r="ECP47" s="32" t="s">
        <v>92</v>
      </c>
      <c r="ECQ47" s="8" t="s">
        <v>132</v>
      </c>
      <c r="ECR47" s="22" t="s">
        <v>46</v>
      </c>
      <c r="ECS47" s="8" t="s">
        <v>433</v>
      </c>
      <c r="ECT47" s="32" t="s">
        <v>92</v>
      </c>
      <c r="ECU47" s="8" t="s">
        <v>132</v>
      </c>
      <c r="ECV47" s="22" t="s">
        <v>46</v>
      </c>
      <c r="ECW47" s="8" t="s">
        <v>433</v>
      </c>
      <c r="ECX47" s="32" t="s">
        <v>92</v>
      </c>
      <c r="ECY47" s="8" t="s">
        <v>132</v>
      </c>
      <c r="ECZ47" s="22" t="s">
        <v>46</v>
      </c>
      <c r="EDA47" s="8" t="s">
        <v>433</v>
      </c>
      <c r="EDB47" s="32" t="s">
        <v>92</v>
      </c>
      <c r="EDC47" s="8" t="s">
        <v>132</v>
      </c>
      <c r="EDD47" s="22" t="s">
        <v>46</v>
      </c>
      <c r="EDE47" s="8" t="s">
        <v>433</v>
      </c>
      <c r="EDF47" s="32" t="s">
        <v>92</v>
      </c>
      <c r="EDG47" s="8" t="s">
        <v>132</v>
      </c>
      <c r="EDH47" s="22" t="s">
        <v>46</v>
      </c>
      <c r="EDI47" s="8" t="s">
        <v>433</v>
      </c>
      <c r="EDJ47" s="32" t="s">
        <v>92</v>
      </c>
      <c r="EDK47" s="8" t="s">
        <v>132</v>
      </c>
      <c r="EDL47" s="22" t="s">
        <v>46</v>
      </c>
      <c r="EDM47" s="8" t="s">
        <v>433</v>
      </c>
      <c r="EDN47" s="32" t="s">
        <v>92</v>
      </c>
      <c r="EDO47" s="8" t="s">
        <v>132</v>
      </c>
      <c r="EDP47" s="22" t="s">
        <v>46</v>
      </c>
      <c r="EDQ47" s="8" t="s">
        <v>433</v>
      </c>
      <c r="EDR47" s="32" t="s">
        <v>92</v>
      </c>
      <c r="EDS47" s="8" t="s">
        <v>132</v>
      </c>
      <c r="EDT47" s="22" t="s">
        <v>46</v>
      </c>
      <c r="EDU47" s="8" t="s">
        <v>433</v>
      </c>
      <c r="EDV47" s="32" t="s">
        <v>92</v>
      </c>
      <c r="EDW47" s="8" t="s">
        <v>132</v>
      </c>
      <c r="EDX47" s="22" t="s">
        <v>46</v>
      </c>
      <c r="EDY47" s="8" t="s">
        <v>433</v>
      </c>
      <c r="EDZ47" s="32" t="s">
        <v>92</v>
      </c>
      <c r="EEA47" s="8" t="s">
        <v>132</v>
      </c>
      <c r="EEB47" s="22" t="s">
        <v>46</v>
      </c>
      <c r="EEC47" s="8" t="s">
        <v>433</v>
      </c>
      <c r="EED47" s="32" t="s">
        <v>92</v>
      </c>
      <c r="EEE47" s="8" t="s">
        <v>132</v>
      </c>
      <c r="EEF47" s="22" t="s">
        <v>46</v>
      </c>
      <c r="EEG47" s="8" t="s">
        <v>433</v>
      </c>
      <c r="EEH47" s="32" t="s">
        <v>92</v>
      </c>
      <c r="EEI47" s="8" t="s">
        <v>132</v>
      </c>
      <c r="EEJ47" s="22" t="s">
        <v>46</v>
      </c>
      <c r="EEK47" s="8" t="s">
        <v>433</v>
      </c>
      <c r="EEL47" s="32" t="s">
        <v>92</v>
      </c>
      <c r="EEM47" s="8" t="s">
        <v>132</v>
      </c>
      <c r="EEN47" s="22" t="s">
        <v>46</v>
      </c>
      <c r="EEO47" s="8" t="s">
        <v>433</v>
      </c>
      <c r="EEP47" s="32" t="s">
        <v>92</v>
      </c>
      <c r="EEQ47" s="8" t="s">
        <v>132</v>
      </c>
      <c r="EER47" s="22" t="s">
        <v>46</v>
      </c>
      <c r="EES47" s="8" t="s">
        <v>433</v>
      </c>
      <c r="EET47" s="32" t="s">
        <v>92</v>
      </c>
      <c r="EEU47" s="8" t="s">
        <v>132</v>
      </c>
      <c r="EEV47" s="22" t="s">
        <v>46</v>
      </c>
      <c r="EEW47" s="8" t="s">
        <v>433</v>
      </c>
      <c r="EEX47" s="32" t="s">
        <v>92</v>
      </c>
      <c r="EEY47" s="8" t="s">
        <v>132</v>
      </c>
      <c r="EEZ47" s="22" t="s">
        <v>46</v>
      </c>
      <c r="EFA47" s="8" t="s">
        <v>433</v>
      </c>
      <c r="EFB47" s="32" t="s">
        <v>92</v>
      </c>
      <c r="EFC47" s="8" t="s">
        <v>132</v>
      </c>
      <c r="EFD47" s="22" t="s">
        <v>46</v>
      </c>
      <c r="EFE47" s="8" t="s">
        <v>433</v>
      </c>
      <c r="EFF47" s="32" t="s">
        <v>92</v>
      </c>
      <c r="EFG47" s="8" t="s">
        <v>132</v>
      </c>
      <c r="EFH47" s="22" t="s">
        <v>46</v>
      </c>
      <c r="EFI47" s="8" t="s">
        <v>433</v>
      </c>
      <c r="EFJ47" s="32" t="s">
        <v>92</v>
      </c>
      <c r="EFK47" s="8" t="s">
        <v>132</v>
      </c>
      <c r="EFL47" s="22" t="s">
        <v>46</v>
      </c>
      <c r="EFM47" s="8" t="s">
        <v>433</v>
      </c>
      <c r="EFN47" s="32" t="s">
        <v>92</v>
      </c>
      <c r="EFO47" s="8" t="s">
        <v>132</v>
      </c>
      <c r="EFP47" s="22" t="s">
        <v>46</v>
      </c>
      <c r="EFQ47" s="8" t="s">
        <v>433</v>
      </c>
      <c r="EFR47" s="32" t="s">
        <v>92</v>
      </c>
      <c r="EFS47" s="8" t="s">
        <v>132</v>
      </c>
      <c r="EFT47" s="22" t="s">
        <v>46</v>
      </c>
      <c r="EFU47" s="8" t="s">
        <v>433</v>
      </c>
      <c r="EFV47" s="32" t="s">
        <v>92</v>
      </c>
      <c r="EFW47" s="8" t="s">
        <v>132</v>
      </c>
      <c r="EFX47" s="22" t="s">
        <v>46</v>
      </c>
      <c r="EFY47" s="8" t="s">
        <v>433</v>
      </c>
      <c r="EFZ47" s="32" t="s">
        <v>92</v>
      </c>
      <c r="EGA47" s="8" t="s">
        <v>132</v>
      </c>
      <c r="EGB47" s="22" t="s">
        <v>46</v>
      </c>
      <c r="EGC47" s="8" t="s">
        <v>433</v>
      </c>
      <c r="EGD47" s="32" t="s">
        <v>92</v>
      </c>
      <c r="EGE47" s="8" t="s">
        <v>132</v>
      </c>
      <c r="EGF47" s="22" t="s">
        <v>46</v>
      </c>
      <c r="EGG47" s="8" t="s">
        <v>433</v>
      </c>
      <c r="EGH47" s="32" t="s">
        <v>92</v>
      </c>
      <c r="EGI47" s="8" t="s">
        <v>132</v>
      </c>
      <c r="EGJ47" s="22" t="s">
        <v>46</v>
      </c>
      <c r="EGK47" s="8" t="s">
        <v>433</v>
      </c>
      <c r="EGL47" s="32" t="s">
        <v>92</v>
      </c>
      <c r="EGM47" s="8" t="s">
        <v>132</v>
      </c>
      <c r="EGN47" s="22" t="s">
        <v>46</v>
      </c>
      <c r="EGO47" s="8" t="s">
        <v>433</v>
      </c>
      <c r="EGP47" s="32" t="s">
        <v>92</v>
      </c>
      <c r="EGQ47" s="8" t="s">
        <v>132</v>
      </c>
      <c r="EGR47" s="22" t="s">
        <v>46</v>
      </c>
      <c r="EGS47" s="8" t="s">
        <v>433</v>
      </c>
      <c r="EGT47" s="32" t="s">
        <v>92</v>
      </c>
      <c r="EGU47" s="8" t="s">
        <v>132</v>
      </c>
      <c r="EGV47" s="22" t="s">
        <v>46</v>
      </c>
      <c r="EGW47" s="8" t="s">
        <v>433</v>
      </c>
      <c r="EGX47" s="32" t="s">
        <v>92</v>
      </c>
      <c r="EGY47" s="8" t="s">
        <v>132</v>
      </c>
      <c r="EGZ47" s="22" t="s">
        <v>46</v>
      </c>
      <c r="EHA47" s="8" t="s">
        <v>433</v>
      </c>
      <c r="EHB47" s="32" t="s">
        <v>92</v>
      </c>
      <c r="EHC47" s="8" t="s">
        <v>132</v>
      </c>
      <c r="EHD47" s="22" t="s">
        <v>46</v>
      </c>
      <c r="EHE47" s="8" t="s">
        <v>433</v>
      </c>
      <c r="EHF47" s="32" t="s">
        <v>92</v>
      </c>
      <c r="EHG47" s="8" t="s">
        <v>132</v>
      </c>
      <c r="EHH47" s="22" t="s">
        <v>46</v>
      </c>
      <c r="EHI47" s="8" t="s">
        <v>433</v>
      </c>
      <c r="EHJ47" s="32" t="s">
        <v>92</v>
      </c>
      <c r="EHK47" s="8" t="s">
        <v>132</v>
      </c>
      <c r="EHL47" s="22" t="s">
        <v>46</v>
      </c>
      <c r="EHM47" s="8" t="s">
        <v>433</v>
      </c>
      <c r="EHN47" s="32" t="s">
        <v>92</v>
      </c>
      <c r="EHO47" s="8" t="s">
        <v>132</v>
      </c>
      <c r="EHP47" s="22" t="s">
        <v>46</v>
      </c>
      <c r="EHQ47" s="8" t="s">
        <v>433</v>
      </c>
      <c r="EHR47" s="32" t="s">
        <v>92</v>
      </c>
      <c r="EHS47" s="8" t="s">
        <v>132</v>
      </c>
      <c r="EHT47" s="22" t="s">
        <v>46</v>
      </c>
      <c r="EHU47" s="8" t="s">
        <v>433</v>
      </c>
      <c r="EHV47" s="32" t="s">
        <v>92</v>
      </c>
      <c r="EHW47" s="8" t="s">
        <v>132</v>
      </c>
      <c r="EHX47" s="22" t="s">
        <v>46</v>
      </c>
      <c r="EHY47" s="8" t="s">
        <v>433</v>
      </c>
      <c r="EHZ47" s="32" t="s">
        <v>92</v>
      </c>
      <c r="EIA47" s="8" t="s">
        <v>132</v>
      </c>
      <c r="EIB47" s="22" t="s">
        <v>46</v>
      </c>
      <c r="EIC47" s="8" t="s">
        <v>433</v>
      </c>
      <c r="EID47" s="32" t="s">
        <v>92</v>
      </c>
      <c r="EIE47" s="8" t="s">
        <v>132</v>
      </c>
      <c r="EIF47" s="22" t="s">
        <v>46</v>
      </c>
      <c r="EIG47" s="8" t="s">
        <v>433</v>
      </c>
      <c r="EIH47" s="32" t="s">
        <v>92</v>
      </c>
      <c r="EII47" s="8" t="s">
        <v>132</v>
      </c>
      <c r="EIJ47" s="22" t="s">
        <v>46</v>
      </c>
      <c r="EIK47" s="8" t="s">
        <v>433</v>
      </c>
      <c r="EIL47" s="32" t="s">
        <v>92</v>
      </c>
      <c r="EIM47" s="8" t="s">
        <v>132</v>
      </c>
      <c r="EIN47" s="22" t="s">
        <v>46</v>
      </c>
      <c r="EIO47" s="8" t="s">
        <v>433</v>
      </c>
      <c r="EIP47" s="32" t="s">
        <v>92</v>
      </c>
      <c r="EIQ47" s="8" t="s">
        <v>132</v>
      </c>
      <c r="EIR47" s="22" t="s">
        <v>46</v>
      </c>
      <c r="EIS47" s="8" t="s">
        <v>433</v>
      </c>
      <c r="EIT47" s="32" t="s">
        <v>92</v>
      </c>
      <c r="EIU47" s="8" t="s">
        <v>132</v>
      </c>
      <c r="EIV47" s="22" t="s">
        <v>46</v>
      </c>
      <c r="EIW47" s="8" t="s">
        <v>433</v>
      </c>
      <c r="EIX47" s="32" t="s">
        <v>92</v>
      </c>
      <c r="EIY47" s="8" t="s">
        <v>132</v>
      </c>
      <c r="EIZ47" s="22" t="s">
        <v>46</v>
      </c>
      <c r="EJA47" s="8" t="s">
        <v>433</v>
      </c>
      <c r="EJB47" s="32" t="s">
        <v>92</v>
      </c>
      <c r="EJC47" s="8" t="s">
        <v>132</v>
      </c>
      <c r="EJD47" s="22" t="s">
        <v>46</v>
      </c>
      <c r="EJE47" s="8" t="s">
        <v>433</v>
      </c>
      <c r="EJF47" s="32" t="s">
        <v>92</v>
      </c>
      <c r="EJG47" s="8" t="s">
        <v>132</v>
      </c>
      <c r="EJH47" s="22" t="s">
        <v>46</v>
      </c>
      <c r="EJI47" s="8" t="s">
        <v>433</v>
      </c>
      <c r="EJJ47" s="32" t="s">
        <v>92</v>
      </c>
      <c r="EJK47" s="8" t="s">
        <v>132</v>
      </c>
      <c r="EJL47" s="22" t="s">
        <v>46</v>
      </c>
      <c r="EJM47" s="8" t="s">
        <v>433</v>
      </c>
      <c r="EJN47" s="32" t="s">
        <v>92</v>
      </c>
      <c r="EJO47" s="8" t="s">
        <v>132</v>
      </c>
      <c r="EJP47" s="22" t="s">
        <v>46</v>
      </c>
      <c r="EJQ47" s="8" t="s">
        <v>433</v>
      </c>
      <c r="EJR47" s="32" t="s">
        <v>92</v>
      </c>
      <c r="EJS47" s="8" t="s">
        <v>132</v>
      </c>
      <c r="EJT47" s="22" t="s">
        <v>46</v>
      </c>
      <c r="EJU47" s="8" t="s">
        <v>433</v>
      </c>
      <c r="EJV47" s="32" t="s">
        <v>92</v>
      </c>
      <c r="EJW47" s="8" t="s">
        <v>132</v>
      </c>
      <c r="EJX47" s="22" t="s">
        <v>46</v>
      </c>
      <c r="EJY47" s="8" t="s">
        <v>433</v>
      </c>
      <c r="EJZ47" s="32" t="s">
        <v>92</v>
      </c>
      <c r="EKA47" s="8" t="s">
        <v>132</v>
      </c>
      <c r="EKB47" s="22" t="s">
        <v>46</v>
      </c>
      <c r="EKC47" s="8" t="s">
        <v>433</v>
      </c>
      <c r="EKD47" s="32" t="s">
        <v>92</v>
      </c>
      <c r="EKE47" s="8" t="s">
        <v>132</v>
      </c>
      <c r="EKF47" s="22" t="s">
        <v>46</v>
      </c>
      <c r="EKG47" s="8" t="s">
        <v>433</v>
      </c>
      <c r="EKH47" s="32" t="s">
        <v>92</v>
      </c>
      <c r="EKI47" s="8" t="s">
        <v>132</v>
      </c>
      <c r="EKJ47" s="22" t="s">
        <v>46</v>
      </c>
      <c r="EKK47" s="8" t="s">
        <v>433</v>
      </c>
      <c r="EKL47" s="32" t="s">
        <v>92</v>
      </c>
      <c r="EKM47" s="8" t="s">
        <v>132</v>
      </c>
      <c r="EKN47" s="22" t="s">
        <v>46</v>
      </c>
      <c r="EKO47" s="8" t="s">
        <v>433</v>
      </c>
      <c r="EKP47" s="32" t="s">
        <v>92</v>
      </c>
      <c r="EKQ47" s="8" t="s">
        <v>132</v>
      </c>
      <c r="EKR47" s="22" t="s">
        <v>46</v>
      </c>
      <c r="EKS47" s="8" t="s">
        <v>433</v>
      </c>
      <c r="EKT47" s="32" t="s">
        <v>92</v>
      </c>
      <c r="EKU47" s="8" t="s">
        <v>132</v>
      </c>
      <c r="EKV47" s="22" t="s">
        <v>46</v>
      </c>
      <c r="EKW47" s="8" t="s">
        <v>433</v>
      </c>
      <c r="EKX47" s="32" t="s">
        <v>92</v>
      </c>
      <c r="EKY47" s="8" t="s">
        <v>132</v>
      </c>
      <c r="EKZ47" s="22" t="s">
        <v>46</v>
      </c>
      <c r="ELA47" s="8" t="s">
        <v>433</v>
      </c>
      <c r="ELB47" s="32" t="s">
        <v>92</v>
      </c>
      <c r="ELC47" s="8" t="s">
        <v>132</v>
      </c>
      <c r="ELD47" s="22" t="s">
        <v>46</v>
      </c>
      <c r="ELE47" s="8" t="s">
        <v>433</v>
      </c>
      <c r="ELF47" s="32" t="s">
        <v>92</v>
      </c>
      <c r="ELG47" s="8" t="s">
        <v>132</v>
      </c>
      <c r="ELH47" s="22" t="s">
        <v>46</v>
      </c>
      <c r="ELI47" s="8" t="s">
        <v>433</v>
      </c>
      <c r="ELJ47" s="32" t="s">
        <v>92</v>
      </c>
      <c r="ELK47" s="8" t="s">
        <v>132</v>
      </c>
      <c r="ELL47" s="22" t="s">
        <v>46</v>
      </c>
      <c r="ELM47" s="8" t="s">
        <v>433</v>
      </c>
      <c r="ELN47" s="32" t="s">
        <v>92</v>
      </c>
      <c r="ELO47" s="8" t="s">
        <v>132</v>
      </c>
      <c r="ELP47" s="22" t="s">
        <v>46</v>
      </c>
      <c r="ELQ47" s="8" t="s">
        <v>433</v>
      </c>
      <c r="ELR47" s="32" t="s">
        <v>92</v>
      </c>
      <c r="ELS47" s="8" t="s">
        <v>132</v>
      </c>
      <c r="ELT47" s="22" t="s">
        <v>46</v>
      </c>
      <c r="ELU47" s="8" t="s">
        <v>433</v>
      </c>
      <c r="ELV47" s="32" t="s">
        <v>92</v>
      </c>
      <c r="ELW47" s="8" t="s">
        <v>132</v>
      </c>
      <c r="ELX47" s="22" t="s">
        <v>46</v>
      </c>
      <c r="ELY47" s="8" t="s">
        <v>433</v>
      </c>
      <c r="ELZ47" s="32" t="s">
        <v>92</v>
      </c>
      <c r="EMA47" s="8" t="s">
        <v>132</v>
      </c>
      <c r="EMB47" s="22" t="s">
        <v>46</v>
      </c>
      <c r="EMC47" s="8" t="s">
        <v>433</v>
      </c>
      <c r="EMD47" s="32" t="s">
        <v>92</v>
      </c>
      <c r="EME47" s="8" t="s">
        <v>132</v>
      </c>
      <c r="EMF47" s="22" t="s">
        <v>46</v>
      </c>
      <c r="EMG47" s="8" t="s">
        <v>433</v>
      </c>
      <c r="EMH47" s="32" t="s">
        <v>92</v>
      </c>
      <c r="EMI47" s="8" t="s">
        <v>132</v>
      </c>
      <c r="EMJ47" s="22" t="s">
        <v>46</v>
      </c>
      <c r="EMK47" s="8" t="s">
        <v>433</v>
      </c>
      <c r="EML47" s="32" t="s">
        <v>92</v>
      </c>
      <c r="EMM47" s="8" t="s">
        <v>132</v>
      </c>
      <c r="EMN47" s="22" t="s">
        <v>46</v>
      </c>
      <c r="EMO47" s="8" t="s">
        <v>433</v>
      </c>
      <c r="EMP47" s="32" t="s">
        <v>92</v>
      </c>
      <c r="EMQ47" s="8" t="s">
        <v>132</v>
      </c>
      <c r="EMR47" s="22" t="s">
        <v>46</v>
      </c>
      <c r="EMS47" s="8" t="s">
        <v>433</v>
      </c>
      <c r="EMT47" s="32" t="s">
        <v>92</v>
      </c>
      <c r="EMU47" s="8" t="s">
        <v>132</v>
      </c>
      <c r="EMV47" s="22" t="s">
        <v>46</v>
      </c>
      <c r="EMW47" s="8" t="s">
        <v>433</v>
      </c>
      <c r="EMX47" s="32" t="s">
        <v>92</v>
      </c>
      <c r="EMY47" s="8" t="s">
        <v>132</v>
      </c>
      <c r="EMZ47" s="22" t="s">
        <v>46</v>
      </c>
      <c r="ENA47" s="8" t="s">
        <v>433</v>
      </c>
      <c r="ENB47" s="32" t="s">
        <v>92</v>
      </c>
      <c r="ENC47" s="8" t="s">
        <v>132</v>
      </c>
      <c r="END47" s="22" t="s">
        <v>46</v>
      </c>
      <c r="ENE47" s="8" t="s">
        <v>433</v>
      </c>
      <c r="ENF47" s="32" t="s">
        <v>92</v>
      </c>
      <c r="ENG47" s="8" t="s">
        <v>132</v>
      </c>
      <c r="ENH47" s="22" t="s">
        <v>46</v>
      </c>
      <c r="ENI47" s="8" t="s">
        <v>433</v>
      </c>
      <c r="ENJ47" s="32" t="s">
        <v>92</v>
      </c>
      <c r="ENK47" s="8" t="s">
        <v>132</v>
      </c>
      <c r="ENL47" s="22" t="s">
        <v>46</v>
      </c>
      <c r="ENM47" s="8" t="s">
        <v>433</v>
      </c>
      <c r="ENN47" s="32" t="s">
        <v>92</v>
      </c>
      <c r="ENO47" s="8" t="s">
        <v>132</v>
      </c>
      <c r="ENP47" s="22" t="s">
        <v>46</v>
      </c>
      <c r="ENQ47" s="8" t="s">
        <v>433</v>
      </c>
      <c r="ENR47" s="32" t="s">
        <v>92</v>
      </c>
      <c r="ENS47" s="8" t="s">
        <v>132</v>
      </c>
      <c r="ENT47" s="22" t="s">
        <v>46</v>
      </c>
      <c r="ENU47" s="8" t="s">
        <v>433</v>
      </c>
      <c r="ENV47" s="32" t="s">
        <v>92</v>
      </c>
      <c r="ENW47" s="8" t="s">
        <v>132</v>
      </c>
      <c r="ENX47" s="22" t="s">
        <v>46</v>
      </c>
      <c r="ENY47" s="8" t="s">
        <v>433</v>
      </c>
      <c r="ENZ47" s="32" t="s">
        <v>92</v>
      </c>
      <c r="EOA47" s="8" t="s">
        <v>132</v>
      </c>
      <c r="EOB47" s="22" t="s">
        <v>46</v>
      </c>
      <c r="EOC47" s="8" t="s">
        <v>433</v>
      </c>
      <c r="EOD47" s="32" t="s">
        <v>92</v>
      </c>
      <c r="EOE47" s="8" t="s">
        <v>132</v>
      </c>
      <c r="EOF47" s="22" t="s">
        <v>46</v>
      </c>
      <c r="EOG47" s="8" t="s">
        <v>433</v>
      </c>
      <c r="EOH47" s="32" t="s">
        <v>92</v>
      </c>
      <c r="EOI47" s="8" t="s">
        <v>132</v>
      </c>
      <c r="EOJ47" s="22" t="s">
        <v>46</v>
      </c>
      <c r="EOK47" s="8" t="s">
        <v>433</v>
      </c>
      <c r="EOL47" s="32" t="s">
        <v>92</v>
      </c>
      <c r="EOM47" s="8" t="s">
        <v>132</v>
      </c>
      <c r="EON47" s="22" t="s">
        <v>46</v>
      </c>
      <c r="EOO47" s="8" t="s">
        <v>433</v>
      </c>
      <c r="EOP47" s="32" t="s">
        <v>92</v>
      </c>
      <c r="EOQ47" s="8" t="s">
        <v>132</v>
      </c>
      <c r="EOR47" s="22" t="s">
        <v>46</v>
      </c>
      <c r="EOS47" s="8" t="s">
        <v>433</v>
      </c>
      <c r="EOT47" s="32" t="s">
        <v>92</v>
      </c>
      <c r="EOU47" s="8" t="s">
        <v>132</v>
      </c>
      <c r="EOV47" s="22" t="s">
        <v>46</v>
      </c>
      <c r="EOW47" s="8" t="s">
        <v>433</v>
      </c>
      <c r="EOX47" s="32" t="s">
        <v>92</v>
      </c>
      <c r="EOY47" s="8" t="s">
        <v>132</v>
      </c>
      <c r="EOZ47" s="22" t="s">
        <v>46</v>
      </c>
      <c r="EPA47" s="8" t="s">
        <v>433</v>
      </c>
      <c r="EPB47" s="32" t="s">
        <v>92</v>
      </c>
      <c r="EPC47" s="8" t="s">
        <v>132</v>
      </c>
      <c r="EPD47" s="22" t="s">
        <v>46</v>
      </c>
      <c r="EPE47" s="8" t="s">
        <v>433</v>
      </c>
      <c r="EPF47" s="32" t="s">
        <v>92</v>
      </c>
      <c r="EPG47" s="8" t="s">
        <v>132</v>
      </c>
      <c r="EPH47" s="22" t="s">
        <v>46</v>
      </c>
      <c r="EPI47" s="8" t="s">
        <v>433</v>
      </c>
      <c r="EPJ47" s="32" t="s">
        <v>92</v>
      </c>
      <c r="EPK47" s="8" t="s">
        <v>132</v>
      </c>
      <c r="EPL47" s="22" t="s">
        <v>46</v>
      </c>
      <c r="EPM47" s="8" t="s">
        <v>433</v>
      </c>
      <c r="EPN47" s="32" t="s">
        <v>92</v>
      </c>
      <c r="EPO47" s="8" t="s">
        <v>132</v>
      </c>
      <c r="EPP47" s="22" t="s">
        <v>46</v>
      </c>
      <c r="EPQ47" s="8" t="s">
        <v>433</v>
      </c>
      <c r="EPR47" s="32" t="s">
        <v>92</v>
      </c>
      <c r="EPS47" s="8" t="s">
        <v>132</v>
      </c>
      <c r="EPT47" s="22" t="s">
        <v>46</v>
      </c>
      <c r="EPU47" s="8" t="s">
        <v>433</v>
      </c>
      <c r="EPV47" s="32" t="s">
        <v>92</v>
      </c>
      <c r="EPW47" s="8" t="s">
        <v>132</v>
      </c>
      <c r="EPX47" s="22" t="s">
        <v>46</v>
      </c>
      <c r="EPY47" s="8" t="s">
        <v>433</v>
      </c>
      <c r="EPZ47" s="32" t="s">
        <v>92</v>
      </c>
      <c r="EQA47" s="8" t="s">
        <v>132</v>
      </c>
      <c r="EQB47" s="22" t="s">
        <v>46</v>
      </c>
      <c r="EQC47" s="8" t="s">
        <v>433</v>
      </c>
      <c r="EQD47" s="32" t="s">
        <v>92</v>
      </c>
      <c r="EQE47" s="8" t="s">
        <v>132</v>
      </c>
      <c r="EQF47" s="22" t="s">
        <v>46</v>
      </c>
      <c r="EQG47" s="8" t="s">
        <v>433</v>
      </c>
      <c r="EQH47" s="32" t="s">
        <v>92</v>
      </c>
      <c r="EQI47" s="8" t="s">
        <v>132</v>
      </c>
      <c r="EQJ47" s="22" t="s">
        <v>46</v>
      </c>
      <c r="EQK47" s="8" t="s">
        <v>433</v>
      </c>
      <c r="EQL47" s="32" t="s">
        <v>92</v>
      </c>
      <c r="EQM47" s="8" t="s">
        <v>132</v>
      </c>
      <c r="EQN47" s="22" t="s">
        <v>46</v>
      </c>
      <c r="EQO47" s="8" t="s">
        <v>433</v>
      </c>
      <c r="EQP47" s="32" t="s">
        <v>92</v>
      </c>
      <c r="EQQ47" s="8" t="s">
        <v>132</v>
      </c>
      <c r="EQR47" s="22" t="s">
        <v>46</v>
      </c>
      <c r="EQS47" s="8" t="s">
        <v>433</v>
      </c>
      <c r="EQT47" s="32" t="s">
        <v>92</v>
      </c>
      <c r="EQU47" s="8" t="s">
        <v>132</v>
      </c>
      <c r="EQV47" s="22" t="s">
        <v>46</v>
      </c>
      <c r="EQW47" s="8" t="s">
        <v>433</v>
      </c>
      <c r="EQX47" s="32" t="s">
        <v>92</v>
      </c>
      <c r="EQY47" s="8" t="s">
        <v>132</v>
      </c>
      <c r="EQZ47" s="22" t="s">
        <v>46</v>
      </c>
      <c r="ERA47" s="8" t="s">
        <v>433</v>
      </c>
      <c r="ERB47" s="32" t="s">
        <v>92</v>
      </c>
      <c r="ERC47" s="8" t="s">
        <v>132</v>
      </c>
      <c r="ERD47" s="22" t="s">
        <v>46</v>
      </c>
      <c r="ERE47" s="8" t="s">
        <v>433</v>
      </c>
      <c r="ERF47" s="32" t="s">
        <v>92</v>
      </c>
      <c r="ERG47" s="8" t="s">
        <v>132</v>
      </c>
      <c r="ERH47" s="22" t="s">
        <v>46</v>
      </c>
      <c r="ERI47" s="8" t="s">
        <v>433</v>
      </c>
      <c r="ERJ47" s="32" t="s">
        <v>92</v>
      </c>
      <c r="ERK47" s="8" t="s">
        <v>132</v>
      </c>
      <c r="ERL47" s="22" t="s">
        <v>46</v>
      </c>
      <c r="ERM47" s="8" t="s">
        <v>433</v>
      </c>
      <c r="ERN47" s="32" t="s">
        <v>92</v>
      </c>
      <c r="ERO47" s="8" t="s">
        <v>132</v>
      </c>
      <c r="ERP47" s="22" t="s">
        <v>46</v>
      </c>
      <c r="ERQ47" s="8" t="s">
        <v>433</v>
      </c>
      <c r="ERR47" s="32" t="s">
        <v>92</v>
      </c>
      <c r="ERS47" s="8" t="s">
        <v>132</v>
      </c>
      <c r="ERT47" s="22" t="s">
        <v>46</v>
      </c>
      <c r="ERU47" s="8" t="s">
        <v>433</v>
      </c>
      <c r="ERV47" s="32" t="s">
        <v>92</v>
      </c>
      <c r="ERW47" s="8" t="s">
        <v>132</v>
      </c>
      <c r="ERX47" s="22" t="s">
        <v>46</v>
      </c>
      <c r="ERY47" s="8" t="s">
        <v>433</v>
      </c>
      <c r="ERZ47" s="32" t="s">
        <v>92</v>
      </c>
      <c r="ESA47" s="8" t="s">
        <v>132</v>
      </c>
      <c r="ESB47" s="22" t="s">
        <v>46</v>
      </c>
      <c r="ESC47" s="8" t="s">
        <v>433</v>
      </c>
      <c r="ESD47" s="32" t="s">
        <v>92</v>
      </c>
      <c r="ESE47" s="8" t="s">
        <v>132</v>
      </c>
      <c r="ESF47" s="22" t="s">
        <v>46</v>
      </c>
      <c r="ESG47" s="8" t="s">
        <v>433</v>
      </c>
      <c r="ESH47" s="32" t="s">
        <v>92</v>
      </c>
      <c r="ESI47" s="8" t="s">
        <v>132</v>
      </c>
      <c r="ESJ47" s="22" t="s">
        <v>46</v>
      </c>
      <c r="ESK47" s="8" t="s">
        <v>433</v>
      </c>
      <c r="ESL47" s="32" t="s">
        <v>92</v>
      </c>
      <c r="ESM47" s="8" t="s">
        <v>132</v>
      </c>
      <c r="ESN47" s="22" t="s">
        <v>46</v>
      </c>
      <c r="ESO47" s="8" t="s">
        <v>433</v>
      </c>
      <c r="ESP47" s="32" t="s">
        <v>92</v>
      </c>
      <c r="ESQ47" s="8" t="s">
        <v>132</v>
      </c>
      <c r="ESR47" s="22" t="s">
        <v>46</v>
      </c>
      <c r="ESS47" s="8" t="s">
        <v>433</v>
      </c>
      <c r="EST47" s="32" t="s">
        <v>92</v>
      </c>
      <c r="ESU47" s="8" t="s">
        <v>132</v>
      </c>
      <c r="ESV47" s="22" t="s">
        <v>46</v>
      </c>
      <c r="ESW47" s="8" t="s">
        <v>433</v>
      </c>
      <c r="ESX47" s="32" t="s">
        <v>92</v>
      </c>
      <c r="ESY47" s="8" t="s">
        <v>132</v>
      </c>
      <c r="ESZ47" s="22" t="s">
        <v>46</v>
      </c>
      <c r="ETA47" s="8" t="s">
        <v>433</v>
      </c>
      <c r="ETB47" s="32" t="s">
        <v>92</v>
      </c>
      <c r="ETC47" s="8" t="s">
        <v>132</v>
      </c>
      <c r="ETD47" s="22" t="s">
        <v>46</v>
      </c>
      <c r="ETE47" s="8" t="s">
        <v>433</v>
      </c>
      <c r="ETF47" s="32" t="s">
        <v>92</v>
      </c>
      <c r="ETG47" s="8" t="s">
        <v>132</v>
      </c>
      <c r="ETH47" s="22" t="s">
        <v>46</v>
      </c>
      <c r="ETI47" s="8" t="s">
        <v>433</v>
      </c>
      <c r="ETJ47" s="32" t="s">
        <v>92</v>
      </c>
      <c r="ETK47" s="8" t="s">
        <v>132</v>
      </c>
      <c r="ETL47" s="22" t="s">
        <v>46</v>
      </c>
      <c r="ETM47" s="8" t="s">
        <v>433</v>
      </c>
      <c r="ETN47" s="32" t="s">
        <v>92</v>
      </c>
      <c r="ETO47" s="8" t="s">
        <v>132</v>
      </c>
      <c r="ETP47" s="22" t="s">
        <v>46</v>
      </c>
      <c r="ETQ47" s="8" t="s">
        <v>433</v>
      </c>
      <c r="ETR47" s="32" t="s">
        <v>92</v>
      </c>
      <c r="ETS47" s="8" t="s">
        <v>132</v>
      </c>
      <c r="ETT47" s="22" t="s">
        <v>46</v>
      </c>
      <c r="ETU47" s="8" t="s">
        <v>433</v>
      </c>
      <c r="ETV47" s="32" t="s">
        <v>92</v>
      </c>
      <c r="ETW47" s="8" t="s">
        <v>132</v>
      </c>
      <c r="ETX47" s="22" t="s">
        <v>46</v>
      </c>
      <c r="ETY47" s="8" t="s">
        <v>433</v>
      </c>
      <c r="ETZ47" s="32" t="s">
        <v>92</v>
      </c>
      <c r="EUA47" s="8" t="s">
        <v>132</v>
      </c>
      <c r="EUB47" s="22" t="s">
        <v>46</v>
      </c>
      <c r="EUC47" s="8" t="s">
        <v>433</v>
      </c>
      <c r="EUD47" s="32" t="s">
        <v>92</v>
      </c>
      <c r="EUE47" s="8" t="s">
        <v>132</v>
      </c>
      <c r="EUF47" s="22" t="s">
        <v>46</v>
      </c>
      <c r="EUG47" s="8" t="s">
        <v>433</v>
      </c>
      <c r="EUH47" s="32" t="s">
        <v>92</v>
      </c>
      <c r="EUI47" s="8" t="s">
        <v>132</v>
      </c>
      <c r="EUJ47" s="22" t="s">
        <v>46</v>
      </c>
      <c r="EUK47" s="8" t="s">
        <v>433</v>
      </c>
      <c r="EUL47" s="32" t="s">
        <v>92</v>
      </c>
      <c r="EUM47" s="8" t="s">
        <v>132</v>
      </c>
      <c r="EUN47" s="22" t="s">
        <v>46</v>
      </c>
      <c r="EUO47" s="8" t="s">
        <v>433</v>
      </c>
      <c r="EUP47" s="32" t="s">
        <v>92</v>
      </c>
      <c r="EUQ47" s="8" t="s">
        <v>132</v>
      </c>
      <c r="EUR47" s="22" t="s">
        <v>46</v>
      </c>
      <c r="EUS47" s="8" t="s">
        <v>433</v>
      </c>
      <c r="EUT47" s="32" t="s">
        <v>92</v>
      </c>
      <c r="EUU47" s="8" t="s">
        <v>132</v>
      </c>
      <c r="EUV47" s="22" t="s">
        <v>46</v>
      </c>
      <c r="EUW47" s="8" t="s">
        <v>433</v>
      </c>
      <c r="EUX47" s="32" t="s">
        <v>92</v>
      </c>
      <c r="EUY47" s="8" t="s">
        <v>132</v>
      </c>
      <c r="EUZ47" s="22" t="s">
        <v>46</v>
      </c>
      <c r="EVA47" s="8" t="s">
        <v>433</v>
      </c>
      <c r="EVB47" s="32" t="s">
        <v>92</v>
      </c>
      <c r="EVC47" s="8" t="s">
        <v>132</v>
      </c>
      <c r="EVD47" s="22" t="s">
        <v>46</v>
      </c>
      <c r="EVE47" s="8" t="s">
        <v>433</v>
      </c>
      <c r="EVF47" s="32" t="s">
        <v>92</v>
      </c>
      <c r="EVG47" s="8" t="s">
        <v>132</v>
      </c>
      <c r="EVH47" s="22" t="s">
        <v>46</v>
      </c>
      <c r="EVI47" s="8" t="s">
        <v>433</v>
      </c>
      <c r="EVJ47" s="32" t="s">
        <v>92</v>
      </c>
      <c r="EVK47" s="8" t="s">
        <v>132</v>
      </c>
      <c r="EVL47" s="22" t="s">
        <v>46</v>
      </c>
      <c r="EVM47" s="8" t="s">
        <v>433</v>
      </c>
      <c r="EVN47" s="32" t="s">
        <v>92</v>
      </c>
      <c r="EVO47" s="8" t="s">
        <v>132</v>
      </c>
      <c r="EVP47" s="22" t="s">
        <v>46</v>
      </c>
      <c r="EVQ47" s="8" t="s">
        <v>433</v>
      </c>
      <c r="EVR47" s="32" t="s">
        <v>92</v>
      </c>
      <c r="EVS47" s="8" t="s">
        <v>132</v>
      </c>
      <c r="EVT47" s="22" t="s">
        <v>46</v>
      </c>
      <c r="EVU47" s="8" t="s">
        <v>433</v>
      </c>
      <c r="EVV47" s="32" t="s">
        <v>92</v>
      </c>
      <c r="EVW47" s="8" t="s">
        <v>132</v>
      </c>
      <c r="EVX47" s="22" t="s">
        <v>46</v>
      </c>
      <c r="EVY47" s="8" t="s">
        <v>433</v>
      </c>
      <c r="EVZ47" s="32" t="s">
        <v>92</v>
      </c>
      <c r="EWA47" s="8" t="s">
        <v>132</v>
      </c>
      <c r="EWB47" s="22" t="s">
        <v>46</v>
      </c>
      <c r="EWC47" s="8" t="s">
        <v>433</v>
      </c>
      <c r="EWD47" s="32" t="s">
        <v>92</v>
      </c>
      <c r="EWE47" s="8" t="s">
        <v>132</v>
      </c>
      <c r="EWF47" s="22" t="s">
        <v>46</v>
      </c>
      <c r="EWG47" s="8" t="s">
        <v>433</v>
      </c>
      <c r="EWH47" s="32" t="s">
        <v>92</v>
      </c>
      <c r="EWI47" s="8" t="s">
        <v>132</v>
      </c>
      <c r="EWJ47" s="22" t="s">
        <v>46</v>
      </c>
      <c r="EWK47" s="8" t="s">
        <v>433</v>
      </c>
      <c r="EWL47" s="32" t="s">
        <v>92</v>
      </c>
      <c r="EWM47" s="8" t="s">
        <v>132</v>
      </c>
      <c r="EWN47" s="22" t="s">
        <v>46</v>
      </c>
      <c r="EWO47" s="8" t="s">
        <v>433</v>
      </c>
      <c r="EWP47" s="32" t="s">
        <v>92</v>
      </c>
      <c r="EWQ47" s="8" t="s">
        <v>132</v>
      </c>
      <c r="EWR47" s="22" t="s">
        <v>46</v>
      </c>
      <c r="EWS47" s="8" t="s">
        <v>433</v>
      </c>
      <c r="EWT47" s="32" t="s">
        <v>92</v>
      </c>
      <c r="EWU47" s="8" t="s">
        <v>132</v>
      </c>
      <c r="EWV47" s="22" t="s">
        <v>46</v>
      </c>
      <c r="EWW47" s="8" t="s">
        <v>433</v>
      </c>
      <c r="EWX47" s="32" t="s">
        <v>92</v>
      </c>
      <c r="EWY47" s="8" t="s">
        <v>132</v>
      </c>
      <c r="EWZ47" s="22" t="s">
        <v>46</v>
      </c>
      <c r="EXA47" s="8" t="s">
        <v>433</v>
      </c>
      <c r="EXB47" s="32" t="s">
        <v>92</v>
      </c>
      <c r="EXC47" s="8" t="s">
        <v>132</v>
      </c>
      <c r="EXD47" s="22" t="s">
        <v>46</v>
      </c>
      <c r="EXE47" s="8" t="s">
        <v>433</v>
      </c>
      <c r="EXF47" s="32" t="s">
        <v>92</v>
      </c>
      <c r="EXG47" s="8" t="s">
        <v>132</v>
      </c>
      <c r="EXH47" s="22" t="s">
        <v>46</v>
      </c>
      <c r="EXI47" s="8" t="s">
        <v>433</v>
      </c>
      <c r="EXJ47" s="32" t="s">
        <v>92</v>
      </c>
      <c r="EXK47" s="8" t="s">
        <v>132</v>
      </c>
      <c r="EXL47" s="22" t="s">
        <v>46</v>
      </c>
      <c r="EXM47" s="8" t="s">
        <v>433</v>
      </c>
      <c r="EXN47" s="32" t="s">
        <v>92</v>
      </c>
      <c r="EXO47" s="8" t="s">
        <v>132</v>
      </c>
      <c r="EXP47" s="22" t="s">
        <v>46</v>
      </c>
      <c r="EXQ47" s="8" t="s">
        <v>433</v>
      </c>
      <c r="EXR47" s="32" t="s">
        <v>92</v>
      </c>
      <c r="EXS47" s="8" t="s">
        <v>132</v>
      </c>
      <c r="EXT47" s="22" t="s">
        <v>46</v>
      </c>
      <c r="EXU47" s="8" t="s">
        <v>433</v>
      </c>
      <c r="EXV47" s="32" t="s">
        <v>92</v>
      </c>
      <c r="EXW47" s="8" t="s">
        <v>132</v>
      </c>
      <c r="EXX47" s="22" t="s">
        <v>46</v>
      </c>
      <c r="EXY47" s="8" t="s">
        <v>433</v>
      </c>
      <c r="EXZ47" s="32" t="s">
        <v>92</v>
      </c>
      <c r="EYA47" s="8" t="s">
        <v>132</v>
      </c>
      <c r="EYB47" s="22" t="s">
        <v>46</v>
      </c>
      <c r="EYC47" s="8" t="s">
        <v>433</v>
      </c>
      <c r="EYD47" s="32" t="s">
        <v>92</v>
      </c>
      <c r="EYE47" s="8" t="s">
        <v>132</v>
      </c>
      <c r="EYF47" s="22" t="s">
        <v>46</v>
      </c>
      <c r="EYG47" s="8" t="s">
        <v>433</v>
      </c>
      <c r="EYH47" s="32" t="s">
        <v>92</v>
      </c>
      <c r="EYI47" s="8" t="s">
        <v>132</v>
      </c>
      <c r="EYJ47" s="22" t="s">
        <v>46</v>
      </c>
      <c r="EYK47" s="8" t="s">
        <v>433</v>
      </c>
      <c r="EYL47" s="32" t="s">
        <v>92</v>
      </c>
      <c r="EYM47" s="8" t="s">
        <v>132</v>
      </c>
      <c r="EYN47" s="22" t="s">
        <v>46</v>
      </c>
      <c r="EYO47" s="8" t="s">
        <v>433</v>
      </c>
      <c r="EYP47" s="32" t="s">
        <v>92</v>
      </c>
      <c r="EYQ47" s="8" t="s">
        <v>132</v>
      </c>
      <c r="EYR47" s="22" t="s">
        <v>46</v>
      </c>
      <c r="EYS47" s="8" t="s">
        <v>433</v>
      </c>
      <c r="EYT47" s="32" t="s">
        <v>92</v>
      </c>
      <c r="EYU47" s="8" t="s">
        <v>132</v>
      </c>
      <c r="EYV47" s="22" t="s">
        <v>46</v>
      </c>
      <c r="EYW47" s="8" t="s">
        <v>433</v>
      </c>
      <c r="EYX47" s="32" t="s">
        <v>92</v>
      </c>
      <c r="EYY47" s="8" t="s">
        <v>132</v>
      </c>
      <c r="EYZ47" s="22" t="s">
        <v>46</v>
      </c>
      <c r="EZA47" s="8" t="s">
        <v>433</v>
      </c>
      <c r="EZB47" s="32" t="s">
        <v>92</v>
      </c>
      <c r="EZC47" s="8" t="s">
        <v>132</v>
      </c>
      <c r="EZD47" s="22" t="s">
        <v>46</v>
      </c>
      <c r="EZE47" s="8" t="s">
        <v>433</v>
      </c>
      <c r="EZF47" s="32" t="s">
        <v>92</v>
      </c>
      <c r="EZG47" s="8" t="s">
        <v>132</v>
      </c>
      <c r="EZH47" s="22" t="s">
        <v>46</v>
      </c>
      <c r="EZI47" s="8" t="s">
        <v>433</v>
      </c>
      <c r="EZJ47" s="32" t="s">
        <v>92</v>
      </c>
      <c r="EZK47" s="8" t="s">
        <v>132</v>
      </c>
      <c r="EZL47" s="22" t="s">
        <v>46</v>
      </c>
      <c r="EZM47" s="8" t="s">
        <v>433</v>
      </c>
      <c r="EZN47" s="32" t="s">
        <v>92</v>
      </c>
      <c r="EZO47" s="8" t="s">
        <v>132</v>
      </c>
      <c r="EZP47" s="22" t="s">
        <v>46</v>
      </c>
      <c r="EZQ47" s="8" t="s">
        <v>433</v>
      </c>
      <c r="EZR47" s="32" t="s">
        <v>92</v>
      </c>
      <c r="EZS47" s="8" t="s">
        <v>132</v>
      </c>
      <c r="EZT47" s="22" t="s">
        <v>46</v>
      </c>
      <c r="EZU47" s="8" t="s">
        <v>433</v>
      </c>
      <c r="EZV47" s="32" t="s">
        <v>92</v>
      </c>
      <c r="EZW47" s="8" t="s">
        <v>132</v>
      </c>
      <c r="EZX47" s="22" t="s">
        <v>46</v>
      </c>
      <c r="EZY47" s="8" t="s">
        <v>433</v>
      </c>
      <c r="EZZ47" s="32" t="s">
        <v>92</v>
      </c>
      <c r="FAA47" s="8" t="s">
        <v>132</v>
      </c>
      <c r="FAB47" s="22" t="s">
        <v>46</v>
      </c>
      <c r="FAC47" s="8" t="s">
        <v>433</v>
      </c>
      <c r="FAD47" s="32" t="s">
        <v>92</v>
      </c>
      <c r="FAE47" s="8" t="s">
        <v>132</v>
      </c>
      <c r="FAF47" s="22" t="s">
        <v>46</v>
      </c>
      <c r="FAG47" s="8" t="s">
        <v>433</v>
      </c>
      <c r="FAH47" s="32" t="s">
        <v>92</v>
      </c>
      <c r="FAI47" s="8" t="s">
        <v>132</v>
      </c>
      <c r="FAJ47" s="22" t="s">
        <v>46</v>
      </c>
      <c r="FAK47" s="8" t="s">
        <v>433</v>
      </c>
      <c r="FAL47" s="32" t="s">
        <v>92</v>
      </c>
      <c r="FAM47" s="8" t="s">
        <v>132</v>
      </c>
      <c r="FAN47" s="22" t="s">
        <v>46</v>
      </c>
      <c r="FAO47" s="8" t="s">
        <v>433</v>
      </c>
      <c r="FAP47" s="32" t="s">
        <v>92</v>
      </c>
      <c r="FAQ47" s="8" t="s">
        <v>132</v>
      </c>
      <c r="FAR47" s="22" t="s">
        <v>46</v>
      </c>
      <c r="FAS47" s="8" t="s">
        <v>433</v>
      </c>
      <c r="FAT47" s="32" t="s">
        <v>92</v>
      </c>
      <c r="FAU47" s="8" t="s">
        <v>132</v>
      </c>
      <c r="FAV47" s="22" t="s">
        <v>46</v>
      </c>
      <c r="FAW47" s="8" t="s">
        <v>433</v>
      </c>
      <c r="FAX47" s="32" t="s">
        <v>92</v>
      </c>
      <c r="FAY47" s="8" t="s">
        <v>132</v>
      </c>
      <c r="FAZ47" s="22" t="s">
        <v>46</v>
      </c>
      <c r="FBA47" s="8" t="s">
        <v>433</v>
      </c>
      <c r="FBB47" s="32" t="s">
        <v>92</v>
      </c>
      <c r="FBC47" s="8" t="s">
        <v>132</v>
      </c>
      <c r="FBD47" s="22" t="s">
        <v>46</v>
      </c>
      <c r="FBE47" s="8" t="s">
        <v>433</v>
      </c>
      <c r="FBF47" s="32" t="s">
        <v>92</v>
      </c>
      <c r="FBG47" s="8" t="s">
        <v>132</v>
      </c>
      <c r="FBH47" s="22" t="s">
        <v>46</v>
      </c>
      <c r="FBI47" s="8" t="s">
        <v>433</v>
      </c>
      <c r="FBJ47" s="32" t="s">
        <v>92</v>
      </c>
      <c r="FBK47" s="8" t="s">
        <v>132</v>
      </c>
      <c r="FBL47" s="22" t="s">
        <v>46</v>
      </c>
      <c r="FBM47" s="8" t="s">
        <v>433</v>
      </c>
      <c r="FBN47" s="32" t="s">
        <v>92</v>
      </c>
      <c r="FBO47" s="8" t="s">
        <v>132</v>
      </c>
      <c r="FBP47" s="22" t="s">
        <v>46</v>
      </c>
      <c r="FBQ47" s="8" t="s">
        <v>433</v>
      </c>
      <c r="FBR47" s="32" t="s">
        <v>92</v>
      </c>
      <c r="FBS47" s="8" t="s">
        <v>132</v>
      </c>
      <c r="FBT47" s="22" t="s">
        <v>46</v>
      </c>
      <c r="FBU47" s="8" t="s">
        <v>433</v>
      </c>
      <c r="FBV47" s="32" t="s">
        <v>92</v>
      </c>
      <c r="FBW47" s="8" t="s">
        <v>132</v>
      </c>
      <c r="FBX47" s="22" t="s">
        <v>46</v>
      </c>
      <c r="FBY47" s="8" t="s">
        <v>433</v>
      </c>
      <c r="FBZ47" s="32" t="s">
        <v>92</v>
      </c>
      <c r="FCA47" s="8" t="s">
        <v>132</v>
      </c>
      <c r="FCB47" s="22" t="s">
        <v>46</v>
      </c>
      <c r="FCC47" s="8" t="s">
        <v>433</v>
      </c>
      <c r="FCD47" s="32" t="s">
        <v>92</v>
      </c>
      <c r="FCE47" s="8" t="s">
        <v>132</v>
      </c>
      <c r="FCF47" s="22" t="s">
        <v>46</v>
      </c>
      <c r="FCG47" s="8" t="s">
        <v>433</v>
      </c>
      <c r="FCH47" s="32" t="s">
        <v>92</v>
      </c>
      <c r="FCI47" s="8" t="s">
        <v>132</v>
      </c>
      <c r="FCJ47" s="22" t="s">
        <v>46</v>
      </c>
      <c r="FCK47" s="8" t="s">
        <v>433</v>
      </c>
      <c r="FCL47" s="32" t="s">
        <v>92</v>
      </c>
      <c r="FCM47" s="8" t="s">
        <v>132</v>
      </c>
      <c r="FCN47" s="22" t="s">
        <v>46</v>
      </c>
      <c r="FCO47" s="8" t="s">
        <v>433</v>
      </c>
      <c r="FCP47" s="32" t="s">
        <v>92</v>
      </c>
      <c r="FCQ47" s="8" t="s">
        <v>132</v>
      </c>
      <c r="FCR47" s="22" t="s">
        <v>46</v>
      </c>
      <c r="FCS47" s="8" t="s">
        <v>433</v>
      </c>
      <c r="FCT47" s="32" t="s">
        <v>92</v>
      </c>
      <c r="FCU47" s="8" t="s">
        <v>132</v>
      </c>
      <c r="FCV47" s="22" t="s">
        <v>46</v>
      </c>
      <c r="FCW47" s="8" t="s">
        <v>433</v>
      </c>
      <c r="FCX47" s="32" t="s">
        <v>92</v>
      </c>
      <c r="FCY47" s="8" t="s">
        <v>132</v>
      </c>
      <c r="FCZ47" s="22" t="s">
        <v>46</v>
      </c>
      <c r="FDA47" s="8" t="s">
        <v>433</v>
      </c>
      <c r="FDB47" s="32" t="s">
        <v>92</v>
      </c>
      <c r="FDC47" s="8" t="s">
        <v>132</v>
      </c>
      <c r="FDD47" s="22" t="s">
        <v>46</v>
      </c>
      <c r="FDE47" s="8" t="s">
        <v>433</v>
      </c>
      <c r="FDF47" s="32" t="s">
        <v>92</v>
      </c>
      <c r="FDG47" s="8" t="s">
        <v>132</v>
      </c>
      <c r="FDH47" s="22" t="s">
        <v>46</v>
      </c>
      <c r="FDI47" s="8" t="s">
        <v>433</v>
      </c>
      <c r="FDJ47" s="32" t="s">
        <v>92</v>
      </c>
      <c r="FDK47" s="8" t="s">
        <v>132</v>
      </c>
      <c r="FDL47" s="22" t="s">
        <v>46</v>
      </c>
      <c r="FDM47" s="8" t="s">
        <v>433</v>
      </c>
      <c r="FDN47" s="32" t="s">
        <v>92</v>
      </c>
      <c r="FDO47" s="8" t="s">
        <v>132</v>
      </c>
      <c r="FDP47" s="22" t="s">
        <v>46</v>
      </c>
      <c r="FDQ47" s="8" t="s">
        <v>433</v>
      </c>
      <c r="FDR47" s="32" t="s">
        <v>92</v>
      </c>
      <c r="FDS47" s="8" t="s">
        <v>132</v>
      </c>
      <c r="FDT47" s="22" t="s">
        <v>46</v>
      </c>
      <c r="FDU47" s="8" t="s">
        <v>433</v>
      </c>
      <c r="FDV47" s="32" t="s">
        <v>92</v>
      </c>
      <c r="FDW47" s="8" t="s">
        <v>132</v>
      </c>
      <c r="FDX47" s="22" t="s">
        <v>46</v>
      </c>
      <c r="FDY47" s="8" t="s">
        <v>433</v>
      </c>
      <c r="FDZ47" s="32" t="s">
        <v>92</v>
      </c>
      <c r="FEA47" s="8" t="s">
        <v>132</v>
      </c>
      <c r="FEB47" s="22" t="s">
        <v>46</v>
      </c>
      <c r="FEC47" s="8" t="s">
        <v>433</v>
      </c>
      <c r="FED47" s="32" t="s">
        <v>92</v>
      </c>
      <c r="FEE47" s="8" t="s">
        <v>132</v>
      </c>
      <c r="FEF47" s="22" t="s">
        <v>46</v>
      </c>
      <c r="FEG47" s="8" t="s">
        <v>433</v>
      </c>
      <c r="FEH47" s="32" t="s">
        <v>92</v>
      </c>
      <c r="FEI47" s="8" t="s">
        <v>132</v>
      </c>
      <c r="FEJ47" s="22" t="s">
        <v>46</v>
      </c>
      <c r="FEK47" s="8" t="s">
        <v>433</v>
      </c>
      <c r="FEL47" s="32" t="s">
        <v>92</v>
      </c>
      <c r="FEM47" s="8" t="s">
        <v>132</v>
      </c>
      <c r="FEN47" s="22" t="s">
        <v>46</v>
      </c>
      <c r="FEO47" s="8" t="s">
        <v>433</v>
      </c>
      <c r="FEP47" s="32" t="s">
        <v>92</v>
      </c>
      <c r="FEQ47" s="8" t="s">
        <v>132</v>
      </c>
      <c r="FER47" s="22" t="s">
        <v>46</v>
      </c>
      <c r="FES47" s="8" t="s">
        <v>433</v>
      </c>
      <c r="FET47" s="32" t="s">
        <v>92</v>
      </c>
      <c r="FEU47" s="8" t="s">
        <v>132</v>
      </c>
      <c r="FEV47" s="22" t="s">
        <v>46</v>
      </c>
      <c r="FEW47" s="8" t="s">
        <v>433</v>
      </c>
      <c r="FEX47" s="32" t="s">
        <v>92</v>
      </c>
      <c r="FEY47" s="8" t="s">
        <v>132</v>
      </c>
      <c r="FEZ47" s="22" t="s">
        <v>46</v>
      </c>
      <c r="FFA47" s="8" t="s">
        <v>433</v>
      </c>
      <c r="FFB47" s="32" t="s">
        <v>92</v>
      </c>
      <c r="FFC47" s="8" t="s">
        <v>132</v>
      </c>
      <c r="FFD47" s="22" t="s">
        <v>46</v>
      </c>
      <c r="FFE47" s="8" t="s">
        <v>433</v>
      </c>
      <c r="FFF47" s="32" t="s">
        <v>92</v>
      </c>
      <c r="FFG47" s="8" t="s">
        <v>132</v>
      </c>
      <c r="FFH47" s="22" t="s">
        <v>46</v>
      </c>
      <c r="FFI47" s="8" t="s">
        <v>433</v>
      </c>
      <c r="FFJ47" s="32" t="s">
        <v>92</v>
      </c>
      <c r="FFK47" s="8" t="s">
        <v>132</v>
      </c>
      <c r="FFL47" s="22" t="s">
        <v>46</v>
      </c>
      <c r="FFM47" s="8" t="s">
        <v>433</v>
      </c>
      <c r="FFN47" s="32" t="s">
        <v>92</v>
      </c>
      <c r="FFO47" s="8" t="s">
        <v>132</v>
      </c>
      <c r="FFP47" s="22" t="s">
        <v>46</v>
      </c>
      <c r="FFQ47" s="8" t="s">
        <v>433</v>
      </c>
      <c r="FFR47" s="32" t="s">
        <v>92</v>
      </c>
      <c r="FFS47" s="8" t="s">
        <v>132</v>
      </c>
      <c r="FFT47" s="22" t="s">
        <v>46</v>
      </c>
      <c r="FFU47" s="8" t="s">
        <v>433</v>
      </c>
      <c r="FFV47" s="32" t="s">
        <v>92</v>
      </c>
      <c r="FFW47" s="8" t="s">
        <v>132</v>
      </c>
      <c r="FFX47" s="22" t="s">
        <v>46</v>
      </c>
      <c r="FFY47" s="8" t="s">
        <v>433</v>
      </c>
      <c r="FFZ47" s="32" t="s">
        <v>92</v>
      </c>
      <c r="FGA47" s="8" t="s">
        <v>132</v>
      </c>
      <c r="FGB47" s="22" t="s">
        <v>46</v>
      </c>
      <c r="FGC47" s="8" t="s">
        <v>433</v>
      </c>
      <c r="FGD47" s="32" t="s">
        <v>92</v>
      </c>
      <c r="FGE47" s="8" t="s">
        <v>132</v>
      </c>
      <c r="FGF47" s="22" t="s">
        <v>46</v>
      </c>
      <c r="FGG47" s="8" t="s">
        <v>433</v>
      </c>
      <c r="FGH47" s="32" t="s">
        <v>92</v>
      </c>
      <c r="FGI47" s="8" t="s">
        <v>132</v>
      </c>
      <c r="FGJ47" s="22" t="s">
        <v>46</v>
      </c>
      <c r="FGK47" s="8" t="s">
        <v>433</v>
      </c>
      <c r="FGL47" s="32" t="s">
        <v>92</v>
      </c>
      <c r="FGM47" s="8" t="s">
        <v>132</v>
      </c>
      <c r="FGN47" s="22" t="s">
        <v>46</v>
      </c>
      <c r="FGO47" s="8" t="s">
        <v>433</v>
      </c>
      <c r="FGP47" s="32" t="s">
        <v>92</v>
      </c>
      <c r="FGQ47" s="8" t="s">
        <v>132</v>
      </c>
      <c r="FGR47" s="22" t="s">
        <v>46</v>
      </c>
      <c r="FGS47" s="8" t="s">
        <v>433</v>
      </c>
      <c r="FGT47" s="32" t="s">
        <v>92</v>
      </c>
      <c r="FGU47" s="8" t="s">
        <v>132</v>
      </c>
      <c r="FGV47" s="22" t="s">
        <v>46</v>
      </c>
      <c r="FGW47" s="8" t="s">
        <v>433</v>
      </c>
      <c r="FGX47" s="32" t="s">
        <v>92</v>
      </c>
      <c r="FGY47" s="8" t="s">
        <v>132</v>
      </c>
      <c r="FGZ47" s="22" t="s">
        <v>46</v>
      </c>
      <c r="FHA47" s="8" t="s">
        <v>433</v>
      </c>
      <c r="FHB47" s="32" t="s">
        <v>92</v>
      </c>
      <c r="FHC47" s="8" t="s">
        <v>132</v>
      </c>
      <c r="FHD47" s="22" t="s">
        <v>46</v>
      </c>
      <c r="FHE47" s="8" t="s">
        <v>433</v>
      </c>
      <c r="FHF47" s="32" t="s">
        <v>92</v>
      </c>
      <c r="FHG47" s="8" t="s">
        <v>132</v>
      </c>
      <c r="FHH47" s="22" t="s">
        <v>46</v>
      </c>
      <c r="FHI47" s="8" t="s">
        <v>433</v>
      </c>
      <c r="FHJ47" s="32" t="s">
        <v>92</v>
      </c>
      <c r="FHK47" s="8" t="s">
        <v>132</v>
      </c>
      <c r="FHL47" s="22" t="s">
        <v>46</v>
      </c>
      <c r="FHM47" s="8" t="s">
        <v>433</v>
      </c>
      <c r="FHN47" s="32" t="s">
        <v>92</v>
      </c>
      <c r="FHO47" s="8" t="s">
        <v>132</v>
      </c>
      <c r="FHP47" s="22" t="s">
        <v>46</v>
      </c>
      <c r="FHQ47" s="8" t="s">
        <v>433</v>
      </c>
      <c r="FHR47" s="32" t="s">
        <v>92</v>
      </c>
      <c r="FHS47" s="8" t="s">
        <v>132</v>
      </c>
      <c r="FHT47" s="22" t="s">
        <v>46</v>
      </c>
      <c r="FHU47" s="8" t="s">
        <v>433</v>
      </c>
      <c r="FHV47" s="32" t="s">
        <v>92</v>
      </c>
      <c r="FHW47" s="8" t="s">
        <v>132</v>
      </c>
      <c r="FHX47" s="22" t="s">
        <v>46</v>
      </c>
      <c r="FHY47" s="8" t="s">
        <v>433</v>
      </c>
      <c r="FHZ47" s="32" t="s">
        <v>92</v>
      </c>
      <c r="FIA47" s="8" t="s">
        <v>132</v>
      </c>
      <c r="FIB47" s="22" t="s">
        <v>46</v>
      </c>
      <c r="FIC47" s="8" t="s">
        <v>433</v>
      </c>
      <c r="FID47" s="32" t="s">
        <v>92</v>
      </c>
      <c r="FIE47" s="8" t="s">
        <v>132</v>
      </c>
      <c r="FIF47" s="22" t="s">
        <v>46</v>
      </c>
      <c r="FIG47" s="8" t="s">
        <v>433</v>
      </c>
      <c r="FIH47" s="32" t="s">
        <v>92</v>
      </c>
      <c r="FII47" s="8" t="s">
        <v>132</v>
      </c>
      <c r="FIJ47" s="22" t="s">
        <v>46</v>
      </c>
      <c r="FIK47" s="8" t="s">
        <v>433</v>
      </c>
      <c r="FIL47" s="32" t="s">
        <v>92</v>
      </c>
      <c r="FIM47" s="8" t="s">
        <v>132</v>
      </c>
      <c r="FIN47" s="22" t="s">
        <v>46</v>
      </c>
      <c r="FIO47" s="8" t="s">
        <v>433</v>
      </c>
      <c r="FIP47" s="32" t="s">
        <v>92</v>
      </c>
      <c r="FIQ47" s="8" t="s">
        <v>132</v>
      </c>
      <c r="FIR47" s="22" t="s">
        <v>46</v>
      </c>
      <c r="FIS47" s="8" t="s">
        <v>433</v>
      </c>
      <c r="FIT47" s="32" t="s">
        <v>92</v>
      </c>
      <c r="FIU47" s="8" t="s">
        <v>132</v>
      </c>
      <c r="FIV47" s="22" t="s">
        <v>46</v>
      </c>
      <c r="FIW47" s="8" t="s">
        <v>433</v>
      </c>
      <c r="FIX47" s="32" t="s">
        <v>92</v>
      </c>
      <c r="FIY47" s="8" t="s">
        <v>132</v>
      </c>
      <c r="FIZ47" s="22" t="s">
        <v>46</v>
      </c>
      <c r="FJA47" s="8" t="s">
        <v>433</v>
      </c>
      <c r="FJB47" s="32" t="s">
        <v>92</v>
      </c>
      <c r="FJC47" s="8" t="s">
        <v>132</v>
      </c>
      <c r="FJD47" s="22" t="s">
        <v>46</v>
      </c>
      <c r="FJE47" s="8" t="s">
        <v>433</v>
      </c>
      <c r="FJF47" s="32" t="s">
        <v>92</v>
      </c>
      <c r="FJG47" s="8" t="s">
        <v>132</v>
      </c>
      <c r="FJH47" s="22" t="s">
        <v>46</v>
      </c>
      <c r="FJI47" s="8" t="s">
        <v>433</v>
      </c>
      <c r="FJJ47" s="32" t="s">
        <v>92</v>
      </c>
      <c r="FJK47" s="8" t="s">
        <v>132</v>
      </c>
      <c r="FJL47" s="22" t="s">
        <v>46</v>
      </c>
      <c r="FJM47" s="8" t="s">
        <v>433</v>
      </c>
      <c r="FJN47" s="32" t="s">
        <v>92</v>
      </c>
      <c r="FJO47" s="8" t="s">
        <v>132</v>
      </c>
      <c r="FJP47" s="22" t="s">
        <v>46</v>
      </c>
      <c r="FJQ47" s="8" t="s">
        <v>433</v>
      </c>
      <c r="FJR47" s="32" t="s">
        <v>92</v>
      </c>
      <c r="FJS47" s="8" t="s">
        <v>132</v>
      </c>
      <c r="FJT47" s="22" t="s">
        <v>46</v>
      </c>
      <c r="FJU47" s="8" t="s">
        <v>433</v>
      </c>
      <c r="FJV47" s="32" t="s">
        <v>92</v>
      </c>
      <c r="FJW47" s="8" t="s">
        <v>132</v>
      </c>
      <c r="FJX47" s="22" t="s">
        <v>46</v>
      </c>
      <c r="FJY47" s="8" t="s">
        <v>433</v>
      </c>
      <c r="FJZ47" s="32" t="s">
        <v>92</v>
      </c>
      <c r="FKA47" s="8" t="s">
        <v>132</v>
      </c>
      <c r="FKB47" s="22" t="s">
        <v>46</v>
      </c>
      <c r="FKC47" s="8" t="s">
        <v>433</v>
      </c>
      <c r="FKD47" s="32" t="s">
        <v>92</v>
      </c>
      <c r="FKE47" s="8" t="s">
        <v>132</v>
      </c>
      <c r="FKF47" s="22" t="s">
        <v>46</v>
      </c>
      <c r="FKG47" s="8" t="s">
        <v>433</v>
      </c>
      <c r="FKH47" s="32" t="s">
        <v>92</v>
      </c>
      <c r="FKI47" s="8" t="s">
        <v>132</v>
      </c>
      <c r="FKJ47" s="22" t="s">
        <v>46</v>
      </c>
      <c r="FKK47" s="8" t="s">
        <v>433</v>
      </c>
      <c r="FKL47" s="32" t="s">
        <v>92</v>
      </c>
      <c r="FKM47" s="8" t="s">
        <v>132</v>
      </c>
      <c r="FKN47" s="22" t="s">
        <v>46</v>
      </c>
      <c r="FKO47" s="8" t="s">
        <v>433</v>
      </c>
      <c r="FKP47" s="32" t="s">
        <v>92</v>
      </c>
      <c r="FKQ47" s="8" t="s">
        <v>132</v>
      </c>
      <c r="FKR47" s="22" t="s">
        <v>46</v>
      </c>
      <c r="FKS47" s="8" t="s">
        <v>433</v>
      </c>
      <c r="FKT47" s="32" t="s">
        <v>92</v>
      </c>
      <c r="FKU47" s="8" t="s">
        <v>132</v>
      </c>
      <c r="FKV47" s="22" t="s">
        <v>46</v>
      </c>
      <c r="FKW47" s="8" t="s">
        <v>433</v>
      </c>
      <c r="FKX47" s="32" t="s">
        <v>92</v>
      </c>
      <c r="FKY47" s="8" t="s">
        <v>132</v>
      </c>
      <c r="FKZ47" s="22" t="s">
        <v>46</v>
      </c>
      <c r="FLA47" s="8" t="s">
        <v>433</v>
      </c>
      <c r="FLB47" s="32" t="s">
        <v>92</v>
      </c>
      <c r="FLC47" s="8" t="s">
        <v>132</v>
      </c>
      <c r="FLD47" s="22" t="s">
        <v>46</v>
      </c>
      <c r="FLE47" s="8" t="s">
        <v>433</v>
      </c>
      <c r="FLF47" s="32" t="s">
        <v>92</v>
      </c>
      <c r="FLG47" s="8" t="s">
        <v>132</v>
      </c>
      <c r="FLH47" s="22" t="s">
        <v>46</v>
      </c>
      <c r="FLI47" s="8" t="s">
        <v>433</v>
      </c>
      <c r="FLJ47" s="32" t="s">
        <v>92</v>
      </c>
      <c r="FLK47" s="8" t="s">
        <v>132</v>
      </c>
      <c r="FLL47" s="22" t="s">
        <v>46</v>
      </c>
      <c r="FLM47" s="8" t="s">
        <v>433</v>
      </c>
      <c r="FLN47" s="32" t="s">
        <v>92</v>
      </c>
      <c r="FLO47" s="8" t="s">
        <v>132</v>
      </c>
      <c r="FLP47" s="22" t="s">
        <v>46</v>
      </c>
      <c r="FLQ47" s="8" t="s">
        <v>433</v>
      </c>
      <c r="FLR47" s="32" t="s">
        <v>92</v>
      </c>
      <c r="FLS47" s="8" t="s">
        <v>132</v>
      </c>
      <c r="FLT47" s="22" t="s">
        <v>46</v>
      </c>
      <c r="FLU47" s="8" t="s">
        <v>433</v>
      </c>
      <c r="FLV47" s="32" t="s">
        <v>92</v>
      </c>
      <c r="FLW47" s="8" t="s">
        <v>132</v>
      </c>
      <c r="FLX47" s="22" t="s">
        <v>46</v>
      </c>
      <c r="FLY47" s="8" t="s">
        <v>433</v>
      </c>
      <c r="FLZ47" s="32" t="s">
        <v>92</v>
      </c>
      <c r="FMA47" s="8" t="s">
        <v>132</v>
      </c>
      <c r="FMB47" s="22" t="s">
        <v>46</v>
      </c>
      <c r="FMC47" s="8" t="s">
        <v>433</v>
      </c>
      <c r="FMD47" s="32" t="s">
        <v>92</v>
      </c>
      <c r="FME47" s="8" t="s">
        <v>132</v>
      </c>
      <c r="FMF47" s="22" t="s">
        <v>46</v>
      </c>
      <c r="FMG47" s="8" t="s">
        <v>433</v>
      </c>
      <c r="FMH47" s="32" t="s">
        <v>92</v>
      </c>
      <c r="FMI47" s="8" t="s">
        <v>132</v>
      </c>
      <c r="FMJ47" s="22" t="s">
        <v>46</v>
      </c>
      <c r="FMK47" s="8" t="s">
        <v>433</v>
      </c>
      <c r="FML47" s="32" t="s">
        <v>92</v>
      </c>
      <c r="FMM47" s="8" t="s">
        <v>132</v>
      </c>
      <c r="FMN47" s="22" t="s">
        <v>46</v>
      </c>
      <c r="FMO47" s="8" t="s">
        <v>433</v>
      </c>
      <c r="FMP47" s="32" t="s">
        <v>92</v>
      </c>
      <c r="FMQ47" s="8" t="s">
        <v>132</v>
      </c>
      <c r="FMR47" s="22" t="s">
        <v>46</v>
      </c>
      <c r="FMS47" s="8" t="s">
        <v>433</v>
      </c>
      <c r="FMT47" s="32" t="s">
        <v>92</v>
      </c>
      <c r="FMU47" s="8" t="s">
        <v>132</v>
      </c>
      <c r="FMV47" s="22" t="s">
        <v>46</v>
      </c>
      <c r="FMW47" s="8" t="s">
        <v>433</v>
      </c>
      <c r="FMX47" s="32" t="s">
        <v>92</v>
      </c>
      <c r="FMY47" s="8" t="s">
        <v>132</v>
      </c>
      <c r="FMZ47" s="22" t="s">
        <v>46</v>
      </c>
      <c r="FNA47" s="8" t="s">
        <v>433</v>
      </c>
      <c r="FNB47" s="32" t="s">
        <v>92</v>
      </c>
      <c r="FNC47" s="8" t="s">
        <v>132</v>
      </c>
      <c r="FND47" s="22" t="s">
        <v>46</v>
      </c>
      <c r="FNE47" s="8" t="s">
        <v>433</v>
      </c>
      <c r="FNF47" s="32" t="s">
        <v>92</v>
      </c>
      <c r="FNG47" s="8" t="s">
        <v>132</v>
      </c>
      <c r="FNH47" s="22" t="s">
        <v>46</v>
      </c>
      <c r="FNI47" s="8" t="s">
        <v>433</v>
      </c>
      <c r="FNJ47" s="32" t="s">
        <v>92</v>
      </c>
      <c r="FNK47" s="8" t="s">
        <v>132</v>
      </c>
      <c r="FNL47" s="22" t="s">
        <v>46</v>
      </c>
      <c r="FNM47" s="8" t="s">
        <v>433</v>
      </c>
      <c r="FNN47" s="32" t="s">
        <v>92</v>
      </c>
      <c r="FNO47" s="8" t="s">
        <v>132</v>
      </c>
      <c r="FNP47" s="22" t="s">
        <v>46</v>
      </c>
      <c r="FNQ47" s="8" t="s">
        <v>433</v>
      </c>
      <c r="FNR47" s="32" t="s">
        <v>92</v>
      </c>
      <c r="FNS47" s="8" t="s">
        <v>132</v>
      </c>
      <c r="FNT47" s="22" t="s">
        <v>46</v>
      </c>
      <c r="FNU47" s="8" t="s">
        <v>433</v>
      </c>
      <c r="FNV47" s="32" t="s">
        <v>92</v>
      </c>
      <c r="FNW47" s="8" t="s">
        <v>132</v>
      </c>
      <c r="FNX47" s="22" t="s">
        <v>46</v>
      </c>
      <c r="FNY47" s="8" t="s">
        <v>433</v>
      </c>
      <c r="FNZ47" s="32" t="s">
        <v>92</v>
      </c>
      <c r="FOA47" s="8" t="s">
        <v>132</v>
      </c>
      <c r="FOB47" s="22" t="s">
        <v>46</v>
      </c>
      <c r="FOC47" s="8" t="s">
        <v>433</v>
      </c>
      <c r="FOD47" s="32" t="s">
        <v>92</v>
      </c>
      <c r="FOE47" s="8" t="s">
        <v>132</v>
      </c>
      <c r="FOF47" s="22" t="s">
        <v>46</v>
      </c>
      <c r="FOG47" s="8" t="s">
        <v>433</v>
      </c>
      <c r="FOH47" s="32" t="s">
        <v>92</v>
      </c>
      <c r="FOI47" s="8" t="s">
        <v>132</v>
      </c>
      <c r="FOJ47" s="22" t="s">
        <v>46</v>
      </c>
      <c r="FOK47" s="8" t="s">
        <v>433</v>
      </c>
      <c r="FOL47" s="32" t="s">
        <v>92</v>
      </c>
      <c r="FOM47" s="8" t="s">
        <v>132</v>
      </c>
      <c r="FON47" s="22" t="s">
        <v>46</v>
      </c>
      <c r="FOO47" s="8" t="s">
        <v>433</v>
      </c>
      <c r="FOP47" s="32" t="s">
        <v>92</v>
      </c>
      <c r="FOQ47" s="8" t="s">
        <v>132</v>
      </c>
      <c r="FOR47" s="22" t="s">
        <v>46</v>
      </c>
      <c r="FOS47" s="8" t="s">
        <v>433</v>
      </c>
      <c r="FOT47" s="32" t="s">
        <v>92</v>
      </c>
      <c r="FOU47" s="8" t="s">
        <v>132</v>
      </c>
      <c r="FOV47" s="22" t="s">
        <v>46</v>
      </c>
      <c r="FOW47" s="8" t="s">
        <v>433</v>
      </c>
      <c r="FOX47" s="32" t="s">
        <v>92</v>
      </c>
      <c r="FOY47" s="8" t="s">
        <v>132</v>
      </c>
      <c r="FOZ47" s="22" t="s">
        <v>46</v>
      </c>
      <c r="FPA47" s="8" t="s">
        <v>433</v>
      </c>
      <c r="FPB47" s="32" t="s">
        <v>92</v>
      </c>
      <c r="FPC47" s="8" t="s">
        <v>132</v>
      </c>
      <c r="FPD47" s="22" t="s">
        <v>46</v>
      </c>
      <c r="FPE47" s="8" t="s">
        <v>433</v>
      </c>
      <c r="FPF47" s="32" t="s">
        <v>92</v>
      </c>
      <c r="FPG47" s="8" t="s">
        <v>132</v>
      </c>
      <c r="FPH47" s="22" t="s">
        <v>46</v>
      </c>
      <c r="FPI47" s="8" t="s">
        <v>433</v>
      </c>
      <c r="FPJ47" s="32" t="s">
        <v>92</v>
      </c>
      <c r="FPK47" s="8" t="s">
        <v>132</v>
      </c>
      <c r="FPL47" s="22" t="s">
        <v>46</v>
      </c>
      <c r="FPM47" s="8" t="s">
        <v>433</v>
      </c>
      <c r="FPN47" s="32" t="s">
        <v>92</v>
      </c>
      <c r="FPO47" s="8" t="s">
        <v>132</v>
      </c>
      <c r="FPP47" s="22" t="s">
        <v>46</v>
      </c>
      <c r="FPQ47" s="8" t="s">
        <v>433</v>
      </c>
      <c r="FPR47" s="32" t="s">
        <v>92</v>
      </c>
      <c r="FPS47" s="8" t="s">
        <v>132</v>
      </c>
      <c r="FPT47" s="22" t="s">
        <v>46</v>
      </c>
      <c r="FPU47" s="8" t="s">
        <v>433</v>
      </c>
      <c r="FPV47" s="32" t="s">
        <v>92</v>
      </c>
      <c r="FPW47" s="8" t="s">
        <v>132</v>
      </c>
      <c r="FPX47" s="22" t="s">
        <v>46</v>
      </c>
      <c r="FPY47" s="8" t="s">
        <v>433</v>
      </c>
      <c r="FPZ47" s="32" t="s">
        <v>92</v>
      </c>
      <c r="FQA47" s="8" t="s">
        <v>132</v>
      </c>
      <c r="FQB47" s="22" t="s">
        <v>46</v>
      </c>
      <c r="FQC47" s="8" t="s">
        <v>433</v>
      </c>
      <c r="FQD47" s="32" t="s">
        <v>92</v>
      </c>
      <c r="FQE47" s="8" t="s">
        <v>132</v>
      </c>
      <c r="FQF47" s="22" t="s">
        <v>46</v>
      </c>
      <c r="FQG47" s="8" t="s">
        <v>433</v>
      </c>
      <c r="FQH47" s="32" t="s">
        <v>92</v>
      </c>
      <c r="FQI47" s="8" t="s">
        <v>132</v>
      </c>
      <c r="FQJ47" s="22" t="s">
        <v>46</v>
      </c>
      <c r="FQK47" s="8" t="s">
        <v>433</v>
      </c>
      <c r="FQL47" s="32" t="s">
        <v>92</v>
      </c>
      <c r="FQM47" s="8" t="s">
        <v>132</v>
      </c>
      <c r="FQN47" s="22" t="s">
        <v>46</v>
      </c>
      <c r="FQO47" s="8" t="s">
        <v>433</v>
      </c>
      <c r="FQP47" s="32" t="s">
        <v>92</v>
      </c>
      <c r="FQQ47" s="8" t="s">
        <v>132</v>
      </c>
      <c r="FQR47" s="22" t="s">
        <v>46</v>
      </c>
      <c r="FQS47" s="8" t="s">
        <v>433</v>
      </c>
      <c r="FQT47" s="32" t="s">
        <v>92</v>
      </c>
      <c r="FQU47" s="8" t="s">
        <v>132</v>
      </c>
      <c r="FQV47" s="22" t="s">
        <v>46</v>
      </c>
      <c r="FQW47" s="8" t="s">
        <v>433</v>
      </c>
      <c r="FQX47" s="32" t="s">
        <v>92</v>
      </c>
      <c r="FQY47" s="8" t="s">
        <v>132</v>
      </c>
      <c r="FQZ47" s="22" t="s">
        <v>46</v>
      </c>
      <c r="FRA47" s="8" t="s">
        <v>433</v>
      </c>
      <c r="FRB47" s="32" t="s">
        <v>92</v>
      </c>
      <c r="FRC47" s="8" t="s">
        <v>132</v>
      </c>
      <c r="FRD47" s="22" t="s">
        <v>46</v>
      </c>
      <c r="FRE47" s="8" t="s">
        <v>433</v>
      </c>
      <c r="FRF47" s="32" t="s">
        <v>92</v>
      </c>
      <c r="FRG47" s="8" t="s">
        <v>132</v>
      </c>
      <c r="FRH47" s="22" t="s">
        <v>46</v>
      </c>
      <c r="FRI47" s="8" t="s">
        <v>433</v>
      </c>
      <c r="FRJ47" s="32" t="s">
        <v>92</v>
      </c>
      <c r="FRK47" s="8" t="s">
        <v>132</v>
      </c>
      <c r="FRL47" s="22" t="s">
        <v>46</v>
      </c>
      <c r="FRM47" s="8" t="s">
        <v>433</v>
      </c>
      <c r="FRN47" s="32" t="s">
        <v>92</v>
      </c>
      <c r="FRO47" s="8" t="s">
        <v>132</v>
      </c>
      <c r="FRP47" s="22" t="s">
        <v>46</v>
      </c>
      <c r="FRQ47" s="8" t="s">
        <v>433</v>
      </c>
      <c r="FRR47" s="32" t="s">
        <v>92</v>
      </c>
      <c r="FRS47" s="8" t="s">
        <v>132</v>
      </c>
      <c r="FRT47" s="22" t="s">
        <v>46</v>
      </c>
      <c r="FRU47" s="8" t="s">
        <v>433</v>
      </c>
      <c r="FRV47" s="32" t="s">
        <v>92</v>
      </c>
      <c r="FRW47" s="8" t="s">
        <v>132</v>
      </c>
      <c r="FRX47" s="22" t="s">
        <v>46</v>
      </c>
      <c r="FRY47" s="8" t="s">
        <v>433</v>
      </c>
      <c r="FRZ47" s="32" t="s">
        <v>92</v>
      </c>
      <c r="FSA47" s="8" t="s">
        <v>132</v>
      </c>
      <c r="FSB47" s="22" t="s">
        <v>46</v>
      </c>
      <c r="FSC47" s="8" t="s">
        <v>433</v>
      </c>
      <c r="FSD47" s="32" t="s">
        <v>92</v>
      </c>
      <c r="FSE47" s="8" t="s">
        <v>132</v>
      </c>
      <c r="FSF47" s="22" t="s">
        <v>46</v>
      </c>
      <c r="FSG47" s="8" t="s">
        <v>433</v>
      </c>
      <c r="FSH47" s="32" t="s">
        <v>92</v>
      </c>
      <c r="FSI47" s="8" t="s">
        <v>132</v>
      </c>
      <c r="FSJ47" s="22" t="s">
        <v>46</v>
      </c>
      <c r="FSK47" s="8" t="s">
        <v>433</v>
      </c>
      <c r="FSL47" s="32" t="s">
        <v>92</v>
      </c>
      <c r="FSM47" s="8" t="s">
        <v>132</v>
      </c>
      <c r="FSN47" s="22" t="s">
        <v>46</v>
      </c>
      <c r="FSO47" s="8" t="s">
        <v>433</v>
      </c>
      <c r="FSP47" s="32" t="s">
        <v>92</v>
      </c>
      <c r="FSQ47" s="8" t="s">
        <v>132</v>
      </c>
      <c r="FSR47" s="22" t="s">
        <v>46</v>
      </c>
      <c r="FSS47" s="8" t="s">
        <v>433</v>
      </c>
      <c r="FST47" s="32" t="s">
        <v>92</v>
      </c>
      <c r="FSU47" s="8" t="s">
        <v>132</v>
      </c>
      <c r="FSV47" s="22" t="s">
        <v>46</v>
      </c>
      <c r="FSW47" s="8" t="s">
        <v>433</v>
      </c>
      <c r="FSX47" s="32" t="s">
        <v>92</v>
      </c>
      <c r="FSY47" s="8" t="s">
        <v>132</v>
      </c>
      <c r="FSZ47" s="22" t="s">
        <v>46</v>
      </c>
      <c r="FTA47" s="8" t="s">
        <v>433</v>
      </c>
      <c r="FTB47" s="32" t="s">
        <v>92</v>
      </c>
      <c r="FTC47" s="8" t="s">
        <v>132</v>
      </c>
      <c r="FTD47" s="22" t="s">
        <v>46</v>
      </c>
      <c r="FTE47" s="8" t="s">
        <v>433</v>
      </c>
      <c r="FTF47" s="32" t="s">
        <v>92</v>
      </c>
      <c r="FTG47" s="8" t="s">
        <v>132</v>
      </c>
      <c r="FTH47" s="22" t="s">
        <v>46</v>
      </c>
      <c r="FTI47" s="8" t="s">
        <v>433</v>
      </c>
      <c r="FTJ47" s="32" t="s">
        <v>92</v>
      </c>
      <c r="FTK47" s="8" t="s">
        <v>132</v>
      </c>
      <c r="FTL47" s="22" t="s">
        <v>46</v>
      </c>
      <c r="FTM47" s="8" t="s">
        <v>433</v>
      </c>
      <c r="FTN47" s="32" t="s">
        <v>92</v>
      </c>
      <c r="FTO47" s="8" t="s">
        <v>132</v>
      </c>
      <c r="FTP47" s="22" t="s">
        <v>46</v>
      </c>
      <c r="FTQ47" s="8" t="s">
        <v>433</v>
      </c>
      <c r="FTR47" s="32" t="s">
        <v>92</v>
      </c>
      <c r="FTS47" s="8" t="s">
        <v>132</v>
      </c>
      <c r="FTT47" s="22" t="s">
        <v>46</v>
      </c>
      <c r="FTU47" s="8" t="s">
        <v>433</v>
      </c>
      <c r="FTV47" s="32" t="s">
        <v>92</v>
      </c>
      <c r="FTW47" s="8" t="s">
        <v>132</v>
      </c>
      <c r="FTX47" s="22" t="s">
        <v>46</v>
      </c>
      <c r="FTY47" s="8" t="s">
        <v>433</v>
      </c>
      <c r="FTZ47" s="32" t="s">
        <v>92</v>
      </c>
      <c r="FUA47" s="8" t="s">
        <v>132</v>
      </c>
      <c r="FUB47" s="22" t="s">
        <v>46</v>
      </c>
      <c r="FUC47" s="8" t="s">
        <v>433</v>
      </c>
      <c r="FUD47" s="32" t="s">
        <v>92</v>
      </c>
      <c r="FUE47" s="8" t="s">
        <v>132</v>
      </c>
      <c r="FUF47" s="22" t="s">
        <v>46</v>
      </c>
      <c r="FUG47" s="8" t="s">
        <v>433</v>
      </c>
      <c r="FUH47" s="32" t="s">
        <v>92</v>
      </c>
      <c r="FUI47" s="8" t="s">
        <v>132</v>
      </c>
      <c r="FUJ47" s="22" t="s">
        <v>46</v>
      </c>
      <c r="FUK47" s="8" t="s">
        <v>433</v>
      </c>
      <c r="FUL47" s="32" t="s">
        <v>92</v>
      </c>
      <c r="FUM47" s="8" t="s">
        <v>132</v>
      </c>
      <c r="FUN47" s="22" t="s">
        <v>46</v>
      </c>
      <c r="FUO47" s="8" t="s">
        <v>433</v>
      </c>
      <c r="FUP47" s="32" t="s">
        <v>92</v>
      </c>
      <c r="FUQ47" s="8" t="s">
        <v>132</v>
      </c>
      <c r="FUR47" s="22" t="s">
        <v>46</v>
      </c>
      <c r="FUS47" s="8" t="s">
        <v>433</v>
      </c>
      <c r="FUT47" s="32" t="s">
        <v>92</v>
      </c>
      <c r="FUU47" s="8" t="s">
        <v>132</v>
      </c>
      <c r="FUV47" s="22" t="s">
        <v>46</v>
      </c>
      <c r="FUW47" s="8" t="s">
        <v>433</v>
      </c>
      <c r="FUX47" s="32" t="s">
        <v>92</v>
      </c>
      <c r="FUY47" s="8" t="s">
        <v>132</v>
      </c>
      <c r="FUZ47" s="22" t="s">
        <v>46</v>
      </c>
      <c r="FVA47" s="8" t="s">
        <v>433</v>
      </c>
      <c r="FVB47" s="32" t="s">
        <v>92</v>
      </c>
      <c r="FVC47" s="8" t="s">
        <v>132</v>
      </c>
      <c r="FVD47" s="22" t="s">
        <v>46</v>
      </c>
      <c r="FVE47" s="8" t="s">
        <v>433</v>
      </c>
      <c r="FVF47" s="32" t="s">
        <v>92</v>
      </c>
      <c r="FVG47" s="8" t="s">
        <v>132</v>
      </c>
      <c r="FVH47" s="22" t="s">
        <v>46</v>
      </c>
      <c r="FVI47" s="8" t="s">
        <v>433</v>
      </c>
      <c r="FVJ47" s="32" t="s">
        <v>92</v>
      </c>
      <c r="FVK47" s="8" t="s">
        <v>132</v>
      </c>
      <c r="FVL47" s="22" t="s">
        <v>46</v>
      </c>
      <c r="FVM47" s="8" t="s">
        <v>433</v>
      </c>
      <c r="FVN47" s="32" t="s">
        <v>92</v>
      </c>
      <c r="FVO47" s="8" t="s">
        <v>132</v>
      </c>
      <c r="FVP47" s="22" t="s">
        <v>46</v>
      </c>
      <c r="FVQ47" s="8" t="s">
        <v>433</v>
      </c>
      <c r="FVR47" s="32" t="s">
        <v>92</v>
      </c>
      <c r="FVS47" s="8" t="s">
        <v>132</v>
      </c>
      <c r="FVT47" s="22" t="s">
        <v>46</v>
      </c>
      <c r="FVU47" s="8" t="s">
        <v>433</v>
      </c>
      <c r="FVV47" s="32" t="s">
        <v>92</v>
      </c>
      <c r="FVW47" s="8" t="s">
        <v>132</v>
      </c>
      <c r="FVX47" s="22" t="s">
        <v>46</v>
      </c>
      <c r="FVY47" s="8" t="s">
        <v>433</v>
      </c>
      <c r="FVZ47" s="32" t="s">
        <v>92</v>
      </c>
      <c r="FWA47" s="8" t="s">
        <v>132</v>
      </c>
      <c r="FWB47" s="22" t="s">
        <v>46</v>
      </c>
      <c r="FWC47" s="8" t="s">
        <v>433</v>
      </c>
      <c r="FWD47" s="32" t="s">
        <v>92</v>
      </c>
      <c r="FWE47" s="8" t="s">
        <v>132</v>
      </c>
      <c r="FWF47" s="22" t="s">
        <v>46</v>
      </c>
      <c r="FWG47" s="8" t="s">
        <v>433</v>
      </c>
      <c r="FWH47" s="32" t="s">
        <v>92</v>
      </c>
      <c r="FWI47" s="8" t="s">
        <v>132</v>
      </c>
      <c r="FWJ47" s="22" t="s">
        <v>46</v>
      </c>
      <c r="FWK47" s="8" t="s">
        <v>433</v>
      </c>
      <c r="FWL47" s="32" t="s">
        <v>92</v>
      </c>
      <c r="FWM47" s="8" t="s">
        <v>132</v>
      </c>
      <c r="FWN47" s="22" t="s">
        <v>46</v>
      </c>
      <c r="FWO47" s="8" t="s">
        <v>433</v>
      </c>
      <c r="FWP47" s="32" t="s">
        <v>92</v>
      </c>
      <c r="FWQ47" s="8" t="s">
        <v>132</v>
      </c>
      <c r="FWR47" s="22" t="s">
        <v>46</v>
      </c>
      <c r="FWS47" s="8" t="s">
        <v>433</v>
      </c>
      <c r="FWT47" s="32" t="s">
        <v>92</v>
      </c>
      <c r="FWU47" s="8" t="s">
        <v>132</v>
      </c>
      <c r="FWV47" s="22" t="s">
        <v>46</v>
      </c>
      <c r="FWW47" s="8" t="s">
        <v>433</v>
      </c>
      <c r="FWX47" s="32" t="s">
        <v>92</v>
      </c>
      <c r="FWY47" s="8" t="s">
        <v>132</v>
      </c>
      <c r="FWZ47" s="22" t="s">
        <v>46</v>
      </c>
      <c r="FXA47" s="8" t="s">
        <v>433</v>
      </c>
      <c r="FXB47" s="32" t="s">
        <v>92</v>
      </c>
      <c r="FXC47" s="8" t="s">
        <v>132</v>
      </c>
      <c r="FXD47" s="22" t="s">
        <v>46</v>
      </c>
      <c r="FXE47" s="8" t="s">
        <v>433</v>
      </c>
      <c r="FXF47" s="32" t="s">
        <v>92</v>
      </c>
      <c r="FXG47" s="8" t="s">
        <v>132</v>
      </c>
      <c r="FXH47" s="22" t="s">
        <v>46</v>
      </c>
      <c r="FXI47" s="8" t="s">
        <v>433</v>
      </c>
      <c r="FXJ47" s="32" t="s">
        <v>92</v>
      </c>
      <c r="FXK47" s="8" t="s">
        <v>132</v>
      </c>
      <c r="FXL47" s="22" t="s">
        <v>46</v>
      </c>
      <c r="FXM47" s="8" t="s">
        <v>433</v>
      </c>
      <c r="FXN47" s="32" t="s">
        <v>92</v>
      </c>
      <c r="FXO47" s="8" t="s">
        <v>132</v>
      </c>
      <c r="FXP47" s="22" t="s">
        <v>46</v>
      </c>
      <c r="FXQ47" s="8" t="s">
        <v>433</v>
      </c>
      <c r="FXR47" s="32" t="s">
        <v>92</v>
      </c>
      <c r="FXS47" s="8" t="s">
        <v>132</v>
      </c>
      <c r="FXT47" s="22" t="s">
        <v>46</v>
      </c>
      <c r="FXU47" s="8" t="s">
        <v>433</v>
      </c>
      <c r="FXV47" s="32" t="s">
        <v>92</v>
      </c>
      <c r="FXW47" s="8" t="s">
        <v>132</v>
      </c>
      <c r="FXX47" s="22" t="s">
        <v>46</v>
      </c>
      <c r="FXY47" s="8" t="s">
        <v>433</v>
      </c>
      <c r="FXZ47" s="32" t="s">
        <v>92</v>
      </c>
      <c r="FYA47" s="8" t="s">
        <v>132</v>
      </c>
      <c r="FYB47" s="22" t="s">
        <v>46</v>
      </c>
      <c r="FYC47" s="8" t="s">
        <v>433</v>
      </c>
      <c r="FYD47" s="32" t="s">
        <v>92</v>
      </c>
      <c r="FYE47" s="8" t="s">
        <v>132</v>
      </c>
      <c r="FYF47" s="22" t="s">
        <v>46</v>
      </c>
      <c r="FYG47" s="8" t="s">
        <v>433</v>
      </c>
      <c r="FYH47" s="32" t="s">
        <v>92</v>
      </c>
      <c r="FYI47" s="8" t="s">
        <v>132</v>
      </c>
      <c r="FYJ47" s="22" t="s">
        <v>46</v>
      </c>
      <c r="FYK47" s="8" t="s">
        <v>433</v>
      </c>
      <c r="FYL47" s="32" t="s">
        <v>92</v>
      </c>
      <c r="FYM47" s="8" t="s">
        <v>132</v>
      </c>
      <c r="FYN47" s="22" t="s">
        <v>46</v>
      </c>
      <c r="FYO47" s="8" t="s">
        <v>433</v>
      </c>
      <c r="FYP47" s="32" t="s">
        <v>92</v>
      </c>
      <c r="FYQ47" s="8" t="s">
        <v>132</v>
      </c>
      <c r="FYR47" s="22" t="s">
        <v>46</v>
      </c>
      <c r="FYS47" s="8" t="s">
        <v>433</v>
      </c>
      <c r="FYT47" s="32" t="s">
        <v>92</v>
      </c>
      <c r="FYU47" s="8" t="s">
        <v>132</v>
      </c>
      <c r="FYV47" s="22" t="s">
        <v>46</v>
      </c>
      <c r="FYW47" s="8" t="s">
        <v>433</v>
      </c>
      <c r="FYX47" s="32" t="s">
        <v>92</v>
      </c>
      <c r="FYY47" s="8" t="s">
        <v>132</v>
      </c>
      <c r="FYZ47" s="22" t="s">
        <v>46</v>
      </c>
      <c r="FZA47" s="8" t="s">
        <v>433</v>
      </c>
      <c r="FZB47" s="32" t="s">
        <v>92</v>
      </c>
      <c r="FZC47" s="8" t="s">
        <v>132</v>
      </c>
      <c r="FZD47" s="22" t="s">
        <v>46</v>
      </c>
      <c r="FZE47" s="8" t="s">
        <v>433</v>
      </c>
      <c r="FZF47" s="32" t="s">
        <v>92</v>
      </c>
      <c r="FZG47" s="8" t="s">
        <v>132</v>
      </c>
      <c r="FZH47" s="22" t="s">
        <v>46</v>
      </c>
      <c r="FZI47" s="8" t="s">
        <v>433</v>
      </c>
      <c r="FZJ47" s="32" t="s">
        <v>92</v>
      </c>
      <c r="FZK47" s="8" t="s">
        <v>132</v>
      </c>
      <c r="FZL47" s="22" t="s">
        <v>46</v>
      </c>
      <c r="FZM47" s="8" t="s">
        <v>433</v>
      </c>
      <c r="FZN47" s="32" t="s">
        <v>92</v>
      </c>
      <c r="FZO47" s="8" t="s">
        <v>132</v>
      </c>
      <c r="FZP47" s="22" t="s">
        <v>46</v>
      </c>
      <c r="FZQ47" s="8" t="s">
        <v>433</v>
      </c>
      <c r="FZR47" s="32" t="s">
        <v>92</v>
      </c>
      <c r="FZS47" s="8" t="s">
        <v>132</v>
      </c>
      <c r="FZT47" s="22" t="s">
        <v>46</v>
      </c>
      <c r="FZU47" s="8" t="s">
        <v>433</v>
      </c>
      <c r="FZV47" s="32" t="s">
        <v>92</v>
      </c>
      <c r="FZW47" s="8" t="s">
        <v>132</v>
      </c>
      <c r="FZX47" s="22" t="s">
        <v>46</v>
      </c>
      <c r="FZY47" s="8" t="s">
        <v>433</v>
      </c>
      <c r="FZZ47" s="32" t="s">
        <v>92</v>
      </c>
      <c r="GAA47" s="8" t="s">
        <v>132</v>
      </c>
      <c r="GAB47" s="22" t="s">
        <v>46</v>
      </c>
      <c r="GAC47" s="8" t="s">
        <v>433</v>
      </c>
      <c r="GAD47" s="32" t="s">
        <v>92</v>
      </c>
      <c r="GAE47" s="8" t="s">
        <v>132</v>
      </c>
      <c r="GAF47" s="22" t="s">
        <v>46</v>
      </c>
      <c r="GAG47" s="8" t="s">
        <v>433</v>
      </c>
      <c r="GAH47" s="32" t="s">
        <v>92</v>
      </c>
      <c r="GAI47" s="8" t="s">
        <v>132</v>
      </c>
      <c r="GAJ47" s="22" t="s">
        <v>46</v>
      </c>
      <c r="GAK47" s="8" t="s">
        <v>433</v>
      </c>
      <c r="GAL47" s="32" t="s">
        <v>92</v>
      </c>
      <c r="GAM47" s="8" t="s">
        <v>132</v>
      </c>
      <c r="GAN47" s="22" t="s">
        <v>46</v>
      </c>
      <c r="GAO47" s="8" t="s">
        <v>433</v>
      </c>
      <c r="GAP47" s="32" t="s">
        <v>92</v>
      </c>
      <c r="GAQ47" s="8" t="s">
        <v>132</v>
      </c>
      <c r="GAR47" s="22" t="s">
        <v>46</v>
      </c>
      <c r="GAS47" s="8" t="s">
        <v>433</v>
      </c>
      <c r="GAT47" s="32" t="s">
        <v>92</v>
      </c>
      <c r="GAU47" s="8" t="s">
        <v>132</v>
      </c>
      <c r="GAV47" s="22" t="s">
        <v>46</v>
      </c>
      <c r="GAW47" s="8" t="s">
        <v>433</v>
      </c>
      <c r="GAX47" s="32" t="s">
        <v>92</v>
      </c>
      <c r="GAY47" s="8" t="s">
        <v>132</v>
      </c>
      <c r="GAZ47" s="22" t="s">
        <v>46</v>
      </c>
      <c r="GBA47" s="8" t="s">
        <v>433</v>
      </c>
      <c r="GBB47" s="32" t="s">
        <v>92</v>
      </c>
      <c r="GBC47" s="8" t="s">
        <v>132</v>
      </c>
      <c r="GBD47" s="22" t="s">
        <v>46</v>
      </c>
      <c r="GBE47" s="8" t="s">
        <v>433</v>
      </c>
      <c r="GBF47" s="32" t="s">
        <v>92</v>
      </c>
      <c r="GBG47" s="8" t="s">
        <v>132</v>
      </c>
      <c r="GBH47" s="22" t="s">
        <v>46</v>
      </c>
      <c r="GBI47" s="8" t="s">
        <v>433</v>
      </c>
      <c r="GBJ47" s="32" t="s">
        <v>92</v>
      </c>
      <c r="GBK47" s="8" t="s">
        <v>132</v>
      </c>
      <c r="GBL47" s="22" t="s">
        <v>46</v>
      </c>
      <c r="GBM47" s="8" t="s">
        <v>433</v>
      </c>
      <c r="GBN47" s="32" t="s">
        <v>92</v>
      </c>
      <c r="GBO47" s="8" t="s">
        <v>132</v>
      </c>
      <c r="GBP47" s="22" t="s">
        <v>46</v>
      </c>
      <c r="GBQ47" s="8" t="s">
        <v>433</v>
      </c>
      <c r="GBR47" s="32" t="s">
        <v>92</v>
      </c>
      <c r="GBS47" s="8" t="s">
        <v>132</v>
      </c>
      <c r="GBT47" s="22" t="s">
        <v>46</v>
      </c>
      <c r="GBU47" s="8" t="s">
        <v>433</v>
      </c>
      <c r="GBV47" s="32" t="s">
        <v>92</v>
      </c>
      <c r="GBW47" s="8" t="s">
        <v>132</v>
      </c>
      <c r="GBX47" s="22" t="s">
        <v>46</v>
      </c>
      <c r="GBY47" s="8" t="s">
        <v>433</v>
      </c>
      <c r="GBZ47" s="32" t="s">
        <v>92</v>
      </c>
      <c r="GCA47" s="8" t="s">
        <v>132</v>
      </c>
      <c r="GCB47" s="22" t="s">
        <v>46</v>
      </c>
      <c r="GCC47" s="8" t="s">
        <v>433</v>
      </c>
      <c r="GCD47" s="32" t="s">
        <v>92</v>
      </c>
      <c r="GCE47" s="8" t="s">
        <v>132</v>
      </c>
      <c r="GCF47" s="22" t="s">
        <v>46</v>
      </c>
      <c r="GCG47" s="8" t="s">
        <v>433</v>
      </c>
      <c r="GCH47" s="32" t="s">
        <v>92</v>
      </c>
      <c r="GCI47" s="8" t="s">
        <v>132</v>
      </c>
      <c r="GCJ47" s="22" t="s">
        <v>46</v>
      </c>
      <c r="GCK47" s="8" t="s">
        <v>433</v>
      </c>
      <c r="GCL47" s="32" t="s">
        <v>92</v>
      </c>
      <c r="GCM47" s="8" t="s">
        <v>132</v>
      </c>
      <c r="GCN47" s="22" t="s">
        <v>46</v>
      </c>
      <c r="GCO47" s="8" t="s">
        <v>433</v>
      </c>
      <c r="GCP47" s="32" t="s">
        <v>92</v>
      </c>
      <c r="GCQ47" s="8" t="s">
        <v>132</v>
      </c>
      <c r="GCR47" s="22" t="s">
        <v>46</v>
      </c>
      <c r="GCS47" s="8" t="s">
        <v>433</v>
      </c>
      <c r="GCT47" s="32" t="s">
        <v>92</v>
      </c>
      <c r="GCU47" s="8" t="s">
        <v>132</v>
      </c>
      <c r="GCV47" s="22" t="s">
        <v>46</v>
      </c>
      <c r="GCW47" s="8" t="s">
        <v>433</v>
      </c>
      <c r="GCX47" s="32" t="s">
        <v>92</v>
      </c>
      <c r="GCY47" s="8" t="s">
        <v>132</v>
      </c>
      <c r="GCZ47" s="22" t="s">
        <v>46</v>
      </c>
      <c r="GDA47" s="8" t="s">
        <v>433</v>
      </c>
      <c r="GDB47" s="32" t="s">
        <v>92</v>
      </c>
      <c r="GDC47" s="8" t="s">
        <v>132</v>
      </c>
      <c r="GDD47" s="22" t="s">
        <v>46</v>
      </c>
      <c r="GDE47" s="8" t="s">
        <v>433</v>
      </c>
      <c r="GDF47" s="32" t="s">
        <v>92</v>
      </c>
      <c r="GDG47" s="8" t="s">
        <v>132</v>
      </c>
      <c r="GDH47" s="22" t="s">
        <v>46</v>
      </c>
      <c r="GDI47" s="8" t="s">
        <v>433</v>
      </c>
      <c r="GDJ47" s="32" t="s">
        <v>92</v>
      </c>
      <c r="GDK47" s="8" t="s">
        <v>132</v>
      </c>
      <c r="GDL47" s="22" t="s">
        <v>46</v>
      </c>
      <c r="GDM47" s="8" t="s">
        <v>433</v>
      </c>
      <c r="GDN47" s="32" t="s">
        <v>92</v>
      </c>
      <c r="GDO47" s="8" t="s">
        <v>132</v>
      </c>
      <c r="GDP47" s="22" t="s">
        <v>46</v>
      </c>
      <c r="GDQ47" s="8" t="s">
        <v>433</v>
      </c>
      <c r="GDR47" s="32" t="s">
        <v>92</v>
      </c>
      <c r="GDS47" s="8" t="s">
        <v>132</v>
      </c>
      <c r="GDT47" s="22" t="s">
        <v>46</v>
      </c>
      <c r="GDU47" s="8" t="s">
        <v>433</v>
      </c>
      <c r="GDV47" s="32" t="s">
        <v>92</v>
      </c>
      <c r="GDW47" s="8" t="s">
        <v>132</v>
      </c>
      <c r="GDX47" s="22" t="s">
        <v>46</v>
      </c>
      <c r="GDY47" s="8" t="s">
        <v>433</v>
      </c>
      <c r="GDZ47" s="32" t="s">
        <v>92</v>
      </c>
      <c r="GEA47" s="8" t="s">
        <v>132</v>
      </c>
      <c r="GEB47" s="22" t="s">
        <v>46</v>
      </c>
      <c r="GEC47" s="8" t="s">
        <v>433</v>
      </c>
      <c r="GED47" s="32" t="s">
        <v>92</v>
      </c>
      <c r="GEE47" s="8" t="s">
        <v>132</v>
      </c>
      <c r="GEF47" s="22" t="s">
        <v>46</v>
      </c>
      <c r="GEG47" s="8" t="s">
        <v>433</v>
      </c>
      <c r="GEH47" s="32" t="s">
        <v>92</v>
      </c>
      <c r="GEI47" s="8" t="s">
        <v>132</v>
      </c>
      <c r="GEJ47" s="22" t="s">
        <v>46</v>
      </c>
      <c r="GEK47" s="8" t="s">
        <v>433</v>
      </c>
      <c r="GEL47" s="32" t="s">
        <v>92</v>
      </c>
      <c r="GEM47" s="8" t="s">
        <v>132</v>
      </c>
      <c r="GEN47" s="22" t="s">
        <v>46</v>
      </c>
      <c r="GEO47" s="8" t="s">
        <v>433</v>
      </c>
      <c r="GEP47" s="32" t="s">
        <v>92</v>
      </c>
      <c r="GEQ47" s="8" t="s">
        <v>132</v>
      </c>
      <c r="GER47" s="22" t="s">
        <v>46</v>
      </c>
      <c r="GES47" s="8" t="s">
        <v>433</v>
      </c>
      <c r="GET47" s="32" t="s">
        <v>92</v>
      </c>
      <c r="GEU47" s="8" t="s">
        <v>132</v>
      </c>
      <c r="GEV47" s="22" t="s">
        <v>46</v>
      </c>
      <c r="GEW47" s="8" t="s">
        <v>433</v>
      </c>
      <c r="GEX47" s="32" t="s">
        <v>92</v>
      </c>
      <c r="GEY47" s="8" t="s">
        <v>132</v>
      </c>
      <c r="GEZ47" s="22" t="s">
        <v>46</v>
      </c>
      <c r="GFA47" s="8" t="s">
        <v>433</v>
      </c>
      <c r="GFB47" s="32" t="s">
        <v>92</v>
      </c>
      <c r="GFC47" s="8" t="s">
        <v>132</v>
      </c>
      <c r="GFD47" s="22" t="s">
        <v>46</v>
      </c>
      <c r="GFE47" s="8" t="s">
        <v>433</v>
      </c>
      <c r="GFF47" s="32" t="s">
        <v>92</v>
      </c>
      <c r="GFG47" s="8" t="s">
        <v>132</v>
      </c>
      <c r="GFH47" s="22" t="s">
        <v>46</v>
      </c>
      <c r="GFI47" s="8" t="s">
        <v>433</v>
      </c>
      <c r="GFJ47" s="32" t="s">
        <v>92</v>
      </c>
      <c r="GFK47" s="8" t="s">
        <v>132</v>
      </c>
      <c r="GFL47" s="22" t="s">
        <v>46</v>
      </c>
      <c r="GFM47" s="8" t="s">
        <v>433</v>
      </c>
      <c r="GFN47" s="32" t="s">
        <v>92</v>
      </c>
      <c r="GFO47" s="8" t="s">
        <v>132</v>
      </c>
      <c r="GFP47" s="22" t="s">
        <v>46</v>
      </c>
      <c r="GFQ47" s="8" t="s">
        <v>433</v>
      </c>
      <c r="GFR47" s="32" t="s">
        <v>92</v>
      </c>
      <c r="GFS47" s="8" t="s">
        <v>132</v>
      </c>
      <c r="GFT47" s="22" t="s">
        <v>46</v>
      </c>
      <c r="GFU47" s="8" t="s">
        <v>433</v>
      </c>
      <c r="GFV47" s="32" t="s">
        <v>92</v>
      </c>
      <c r="GFW47" s="8" t="s">
        <v>132</v>
      </c>
      <c r="GFX47" s="22" t="s">
        <v>46</v>
      </c>
      <c r="GFY47" s="8" t="s">
        <v>433</v>
      </c>
      <c r="GFZ47" s="32" t="s">
        <v>92</v>
      </c>
      <c r="GGA47" s="8" t="s">
        <v>132</v>
      </c>
      <c r="GGB47" s="22" t="s">
        <v>46</v>
      </c>
      <c r="GGC47" s="8" t="s">
        <v>433</v>
      </c>
      <c r="GGD47" s="32" t="s">
        <v>92</v>
      </c>
      <c r="GGE47" s="8" t="s">
        <v>132</v>
      </c>
      <c r="GGF47" s="22" t="s">
        <v>46</v>
      </c>
      <c r="GGG47" s="8" t="s">
        <v>433</v>
      </c>
      <c r="GGH47" s="32" t="s">
        <v>92</v>
      </c>
      <c r="GGI47" s="8" t="s">
        <v>132</v>
      </c>
      <c r="GGJ47" s="22" t="s">
        <v>46</v>
      </c>
      <c r="GGK47" s="8" t="s">
        <v>433</v>
      </c>
      <c r="GGL47" s="32" t="s">
        <v>92</v>
      </c>
      <c r="GGM47" s="8" t="s">
        <v>132</v>
      </c>
      <c r="GGN47" s="22" t="s">
        <v>46</v>
      </c>
      <c r="GGO47" s="8" t="s">
        <v>433</v>
      </c>
      <c r="GGP47" s="32" t="s">
        <v>92</v>
      </c>
      <c r="GGQ47" s="8" t="s">
        <v>132</v>
      </c>
      <c r="GGR47" s="22" t="s">
        <v>46</v>
      </c>
      <c r="GGS47" s="8" t="s">
        <v>433</v>
      </c>
      <c r="GGT47" s="32" t="s">
        <v>92</v>
      </c>
      <c r="GGU47" s="8" t="s">
        <v>132</v>
      </c>
      <c r="GGV47" s="22" t="s">
        <v>46</v>
      </c>
      <c r="GGW47" s="8" t="s">
        <v>433</v>
      </c>
      <c r="GGX47" s="32" t="s">
        <v>92</v>
      </c>
      <c r="GGY47" s="8" t="s">
        <v>132</v>
      </c>
      <c r="GGZ47" s="22" t="s">
        <v>46</v>
      </c>
      <c r="GHA47" s="8" t="s">
        <v>433</v>
      </c>
      <c r="GHB47" s="32" t="s">
        <v>92</v>
      </c>
      <c r="GHC47" s="8" t="s">
        <v>132</v>
      </c>
      <c r="GHD47" s="22" t="s">
        <v>46</v>
      </c>
      <c r="GHE47" s="8" t="s">
        <v>433</v>
      </c>
      <c r="GHF47" s="32" t="s">
        <v>92</v>
      </c>
      <c r="GHG47" s="8" t="s">
        <v>132</v>
      </c>
      <c r="GHH47" s="22" t="s">
        <v>46</v>
      </c>
      <c r="GHI47" s="8" t="s">
        <v>433</v>
      </c>
      <c r="GHJ47" s="32" t="s">
        <v>92</v>
      </c>
      <c r="GHK47" s="8" t="s">
        <v>132</v>
      </c>
      <c r="GHL47" s="22" t="s">
        <v>46</v>
      </c>
      <c r="GHM47" s="8" t="s">
        <v>433</v>
      </c>
      <c r="GHN47" s="32" t="s">
        <v>92</v>
      </c>
      <c r="GHO47" s="8" t="s">
        <v>132</v>
      </c>
      <c r="GHP47" s="22" t="s">
        <v>46</v>
      </c>
      <c r="GHQ47" s="8" t="s">
        <v>433</v>
      </c>
      <c r="GHR47" s="32" t="s">
        <v>92</v>
      </c>
      <c r="GHS47" s="8" t="s">
        <v>132</v>
      </c>
      <c r="GHT47" s="22" t="s">
        <v>46</v>
      </c>
      <c r="GHU47" s="8" t="s">
        <v>433</v>
      </c>
      <c r="GHV47" s="32" t="s">
        <v>92</v>
      </c>
      <c r="GHW47" s="8" t="s">
        <v>132</v>
      </c>
      <c r="GHX47" s="22" t="s">
        <v>46</v>
      </c>
      <c r="GHY47" s="8" t="s">
        <v>433</v>
      </c>
      <c r="GHZ47" s="32" t="s">
        <v>92</v>
      </c>
      <c r="GIA47" s="8" t="s">
        <v>132</v>
      </c>
      <c r="GIB47" s="22" t="s">
        <v>46</v>
      </c>
      <c r="GIC47" s="8" t="s">
        <v>433</v>
      </c>
      <c r="GID47" s="32" t="s">
        <v>92</v>
      </c>
      <c r="GIE47" s="8" t="s">
        <v>132</v>
      </c>
      <c r="GIF47" s="22" t="s">
        <v>46</v>
      </c>
      <c r="GIG47" s="8" t="s">
        <v>433</v>
      </c>
      <c r="GIH47" s="32" t="s">
        <v>92</v>
      </c>
      <c r="GII47" s="8" t="s">
        <v>132</v>
      </c>
      <c r="GIJ47" s="22" t="s">
        <v>46</v>
      </c>
      <c r="GIK47" s="8" t="s">
        <v>433</v>
      </c>
      <c r="GIL47" s="32" t="s">
        <v>92</v>
      </c>
      <c r="GIM47" s="8" t="s">
        <v>132</v>
      </c>
      <c r="GIN47" s="22" t="s">
        <v>46</v>
      </c>
      <c r="GIO47" s="8" t="s">
        <v>433</v>
      </c>
      <c r="GIP47" s="32" t="s">
        <v>92</v>
      </c>
      <c r="GIQ47" s="8" t="s">
        <v>132</v>
      </c>
      <c r="GIR47" s="22" t="s">
        <v>46</v>
      </c>
      <c r="GIS47" s="8" t="s">
        <v>433</v>
      </c>
      <c r="GIT47" s="32" t="s">
        <v>92</v>
      </c>
      <c r="GIU47" s="8" t="s">
        <v>132</v>
      </c>
      <c r="GIV47" s="22" t="s">
        <v>46</v>
      </c>
      <c r="GIW47" s="8" t="s">
        <v>433</v>
      </c>
      <c r="GIX47" s="32" t="s">
        <v>92</v>
      </c>
      <c r="GIY47" s="8" t="s">
        <v>132</v>
      </c>
      <c r="GIZ47" s="22" t="s">
        <v>46</v>
      </c>
      <c r="GJA47" s="8" t="s">
        <v>433</v>
      </c>
      <c r="GJB47" s="32" t="s">
        <v>92</v>
      </c>
      <c r="GJC47" s="8" t="s">
        <v>132</v>
      </c>
      <c r="GJD47" s="22" t="s">
        <v>46</v>
      </c>
      <c r="GJE47" s="8" t="s">
        <v>433</v>
      </c>
      <c r="GJF47" s="32" t="s">
        <v>92</v>
      </c>
      <c r="GJG47" s="8" t="s">
        <v>132</v>
      </c>
      <c r="GJH47" s="22" t="s">
        <v>46</v>
      </c>
      <c r="GJI47" s="8" t="s">
        <v>433</v>
      </c>
      <c r="GJJ47" s="32" t="s">
        <v>92</v>
      </c>
      <c r="GJK47" s="8" t="s">
        <v>132</v>
      </c>
      <c r="GJL47" s="22" t="s">
        <v>46</v>
      </c>
      <c r="GJM47" s="8" t="s">
        <v>433</v>
      </c>
      <c r="GJN47" s="32" t="s">
        <v>92</v>
      </c>
      <c r="GJO47" s="8" t="s">
        <v>132</v>
      </c>
      <c r="GJP47" s="22" t="s">
        <v>46</v>
      </c>
      <c r="GJQ47" s="8" t="s">
        <v>433</v>
      </c>
      <c r="GJR47" s="32" t="s">
        <v>92</v>
      </c>
      <c r="GJS47" s="8" t="s">
        <v>132</v>
      </c>
      <c r="GJT47" s="22" t="s">
        <v>46</v>
      </c>
      <c r="GJU47" s="8" t="s">
        <v>433</v>
      </c>
      <c r="GJV47" s="32" t="s">
        <v>92</v>
      </c>
      <c r="GJW47" s="8" t="s">
        <v>132</v>
      </c>
      <c r="GJX47" s="22" t="s">
        <v>46</v>
      </c>
      <c r="GJY47" s="8" t="s">
        <v>433</v>
      </c>
      <c r="GJZ47" s="32" t="s">
        <v>92</v>
      </c>
      <c r="GKA47" s="8" t="s">
        <v>132</v>
      </c>
      <c r="GKB47" s="22" t="s">
        <v>46</v>
      </c>
      <c r="GKC47" s="8" t="s">
        <v>433</v>
      </c>
      <c r="GKD47" s="32" t="s">
        <v>92</v>
      </c>
      <c r="GKE47" s="8" t="s">
        <v>132</v>
      </c>
      <c r="GKF47" s="22" t="s">
        <v>46</v>
      </c>
      <c r="GKG47" s="8" t="s">
        <v>433</v>
      </c>
      <c r="GKH47" s="32" t="s">
        <v>92</v>
      </c>
      <c r="GKI47" s="8" t="s">
        <v>132</v>
      </c>
      <c r="GKJ47" s="22" t="s">
        <v>46</v>
      </c>
      <c r="GKK47" s="8" t="s">
        <v>433</v>
      </c>
      <c r="GKL47" s="32" t="s">
        <v>92</v>
      </c>
      <c r="GKM47" s="8" t="s">
        <v>132</v>
      </c>
      <c r="GKN47" s="22" t="s">
        <v>46</v>
      </c>
      <c r="GKO47" s="8" t="s">
        <v>433</v>
      </c>
      <c r="GKP47" s="32" t="s">
        <v>92</v>
      </c>
      <c r="GKQ47" s="8" t="s">
        <v>132</v>
      </c>
      <c r="GKR47" s="22" t="s">
        <v>46</v>
      </c>
      <c r="GKS47" s="8" t="s">
        <v>433</v>
      </c>
      <c r="GKT47" s="32" t="s">
        <v>92</v>
      </c>
      <c r="GKU47" s="8" t="s">
        <v>132</v>
      </c>
      <c r="GKV47" s="22" t="s">
        <v>46</v>
      </c>
      <c r="GKW47" s="8" t="s">
        <v>433</v>
      </c>
      <c r="GKX47" s="32" t="s">
        <v>92</v>
      </c>
      <c r="GKY47" s="8" t="s">
        <v>132</v>
      </c>
      <c r="GKZ47" s="22" t="s">
        <v>46</v>
      </c>
      <c r="GLA47" s="8" t="s">
        <v>433</v>
      </c>
      <c r="GLB47" s="32" t="s">
        <v>92</v>
      </c>
      <c r="GLC47" s="8" t="s">
        <v>132</v>
      </c>
      <c r="GLD47" s="22" t="s">
        <v>46</v>
      </c>
      <c r="GLE47" s="8" t="s">
        <v>433</v>
      </c>
      <c r="GLF47" s="32" t="s">
        <v>92</v>
      </c>
      <c r="GLG47" s="8" t="s">
        <v>132</v>
      </c>
      <c r="GLH47" s="22" t="s">
        <v>46</v>
      </c>
      <c r="GLI47" s="8" t="s">
        <v>433</v>
      </c>
      <c r="GLJ47" s="32" t="s">
        <v>92</v>
      </c>
      <c r="GLK47" s="8" t="s">
        <v>132</v>
      </c>
      <c r="GLL47" s="22" t="s">
        <v>46</v>
      </c>
      <c r="GLM47" s="8" t="s">
        <v>433</v>
      </c>
      <c r="GLN47" s="32" t="s">
        <v>92</v>
      </c>
      <c r="GLO47" s="8" t="s">
        <v>132</v>
      </c>
      <c r="GLP47" s="22" t="s">
        <v>46</v>
      </c>
      <c r="GLQ47" s="8" t="s">
        <v>433</v>
      </c>
      <c r="GLR47" s="32" t="s">
        <v>92</v>
      </c>
      <c r="GLS47" s="8" t="s">
        <v>132</v>
      </c>
      <c r="GLT47" s="22" t="s">
        <v>46</v>
      </c>
      <c r="GLU47" s="8" t="s">
        <v>433</v>
      </c>
      <c r="GLV47" s="32" t="s">
        <v>92</v>
      </c>
      <c r="GLW47" s="8" t="s">
        <v>132</v>
      </c>
      <c r="GLX47" s="22" t="s">
        <v>46</v>
      </c>
      <c r="GLY47" s="8" t="s">
        <v>433</v>
      </c>
      <c r="GLZ47" s="32" t="s">
        <v>92</v>
      </c>
      <c r="GMA47" s="8" t="s">
        <v>132</v>
      </c>
      <c r="GMB47" s="22" t="s">
        <v>46</v>
      </c>
      <c r="GMC47" s="8" t="s">
        <v>433</v>
      </c>
      <c r="GMD47" s="32" t="s">
        <v>92</v>
      </c>
      <c r="GME47" s="8" t="s">
        <v>132</v>
      </c>
      <c r="GMF47" s="22" t="s">
        <v>46</v>
      </c>
      <c r="GMG47" s="8" t="s">
        <v>433</v>
      </c>
      <c r="GMH47" s="32" t="s">
        <v>92</v>
      </c>
      <c r="GMI47" s="8" t="s">
        <v>132</v>
      </c>
      <c r="GMJ47" s="22" t="s">
        <v>46</v>
      </c>
      <c r="GMK47" s="8" t="s">
        <v>433</v>
      </c>
      <c r="GML47" s="32" t="s">
        <v>92</v>
      </c>
      <c r="GMM47" s="8" t="s">
        <v>132</v>
      </c>
      <c r="GMN47" s="22" t="s">
        <v>46</v>
      </c>
      <c r="GMO47" s="8" t="s">
        <v>433</v>
      </c>
      <c r="GMP47" s="32" t="s">
        <v>92</v>
      </c>
      <c r="GMQ47" s="8" t="s">
        <v>132</v>
      </c>
      <c r="GMR47" s="22" t="s">
        <v>46</v>
      </c>
      <c r="GMS47" s="8" t="s">
        <v>433</v>
      </c>
      <c r="GMT47" s="32" t="s">
        <v>92</v>
      </c>
      <c r="GMU47" s="8" t="s">
        <v>132</v>
      </c>
      <c r="GMV47" s="22" t="s">
        <v>46</v>
      </c>
      <c r="GMW47" s="8" t="s">
        <v>433</v>
      </c>
      <c r="GMX47" s="32" t="s">
        <v>92</v>
      </c>
      <c r="GMY47" s="8" t="s">
        <v>132</v>
      </c>
      <c r="GMZ47" s="22" t="s">
        <v>46</v>
      </c>
      <c r="GNA47" s="8" t="s">
        <v>433</v>
      </c>
      <c r="GNB47" s="32" t="s">
        <v>92</v>
      </c>
      <c r="GNC47" s="8" t="s">
        <v>132</v>
      </c>
      <c r="GND47" s="22" t="s">
        <v>46</v>
      </c>
      <c r="GNE47" s="8" t="s">
        <v>433</v>
      </c>
      <c r="GNF47" s="32" t="s">
        <v>92</v>
      </c>
      <c r="GNG47" s="8" t="s">
        <v>132</v>
      </c>
      <c r="GNH47" s="22" t="s">
        <v>46</v>
      </c>
      <c r="GNI47" s="8" t="s">
        <v>433</v>
      </c>
      <c r="GNJ47" s="32" t="s">
        <v>92</v>
      </c>
      <c r="GNK47" s="8" t="s">
        <v>132</v>
      </c>
      <c r="GNL47" s="22" t="s">
        <v>46</v>
      </c>
      <c r="GNM47" s="8" t="s">
        <v>433</v>
      </c>
      <c r="GNN47" s="32" t="s">
        <v>92</v>
      </c>
      <c r="GNO47" s="8" t="s">
        <v>132</v>
      </c>
      <c r="GNP47" s="22" t="s">
        <v>46</v>
      </c>
      <c r="GNQ47" s="8" t="s">
        <v>433</v>
      </c>
      <c r="GNR47" s="32" t="s">
        <v>92</v>
      </c>
      <c r="GNS47" s="8" t="s">
        <v>132</v>
      </c>
      <c r="GNT47" s="22" t="s">
        <v>46</v>
      </c>
      <c r="GNU47" s="8" t="s">
        <v>433</v>
      </c>
      <c r="GNV47" s="32" t="s">
        <v>92</v>
      </c>
      <c r="GNW47" s="8" t="s">
        <v>132</v>
      </c>
      <c r="GNX47" s="22" t="s">
        <v>46</v>
      </c>
      <c r="GNY47" s="8" t="s">
        <v>433</v>
      </c>
      <c r="GNZ47" s="32" t="s">
        <v>92</v>
      </c>
      <c r="GOA47" s="8" t="s">
        <v>132</v>
      </c>
      <c r="GOB47" s="22" t="s">
        <v>46</v>
      </c>
      <c r="GOC47" s="8" t="s">
        <v>433</v>
      </c>
      <c r="GOD47" s="32" t="s">
        <v>92</v>
      </c>
      <c r="GOE47" s="8" t="s">
        <v>132</v>
      </c>
      <c r="GOF47" s="22" t="s">
        <v>46</v>
      </c>
      <c r="GOG47" s="8" t="s">
        <v>433</v>
      </c>
      <c r="GOH47" s="32" t="s">
        <v>92</v>
      </c>
      <c r="GOI47" s="8" t="s">
        <v>132</v>
      </c>
      <c r="GOJ47" s="22" t="s">
        <v>46</v>
      </c>
      <c r="GOK47" s="8" t="s">
        <v>433</v>
      </c>
      <c r="GOL47" s="32" t="s">
        <v>92</v>
      </c>
      <c r="GOM47" s="8" t="s">
        <v>132</v>
      </c>
      <c r="GON47" s="22" t="s">
        <v>46</v>
      </c>
      <c r="GOO47" s="8" t="s">
        <v>433</v>
      </c>
      <c r="GOP47" s="32" t="s">
        <v>92</v>
      </c>
      <c r="GOQ47" s="8" t="s">
        <v>132</v>
      </c>
      <c r="GOR47" s="22" t="s">
        <v>46</v>
      </c>
      <c r="GOS47" s="8" t="s">
        <v>433</v>
      </c>
      <c r="GOT47" s="32" t="s">
        <v>92</v>
      </c>
      <c r="GOU47" s="8" t="s">
        <v>132</v>
      </c>
      <c r="GOV47" s="22" t="s">
        <v>46</v>
      </c>
      <c r="GOW47" s="8" t="s">
        <v>433</v>
      </c>
      <c r="GOX47" s="32" t="s">
        <v>92</v>
      </c>
      <c r="GOY47" s="8" t="s">
        <v>132</v>
      </c>
      <c r="GOZ47" s="22" t="s">
        <v>46</v>
      </c>
      <c r="GPA47" s="8" t="s">
        <v>433</v>
      </c>
      <c r="GPB47" s="32" t="s">
        <v>92</v>
      </c>
      <c r="GPC47" s="8" t="s">
        <v>132</v>
      </c>
      <c r="GPD47" s="22" t="s">
        <v>46</v>
      </c>
      <c r="GPE47" s="8" t="s">
        <v>433</v>
      </c>
      <c r="GPF47" s="32" t="s">
        <v>92</v>
      </c>
      <c r="GPG47" s="8" t="s">
        <v>132</v>
      </c>
      <c r="GPH47" s="22" t="s">
        <v>46</v>
      </c>
      <c r="GPI47" s="8" t="s">
        <v>433</v>
      </c>
      <c r="GPJ47" s="32" t="s">
        <v>92</v>
      </c>
      <c r="GPK47" s="8" t="s">
        <v>132</v>
      </c>
      <c r="GPL47" s="22" t="s">
        <v>46</v>
      </c>
      <c r="GPM47" s="8" t="s">
        <v>433</v>
      </c>
      <c r="GPN47" s="32" t="s">
        <v>92</v>
      </c>
      <c r="GPO47" s="8" t="s">
        <v>132</v>
      </c>
      <c r="GPP47" s="22" t="s">
        <v>46</v>
      </c>
      <c r="GPQ47" s="8" t="s">
        <v>433</v>
      </c>
      <c r="GPR47" s="32" t="s">
        <v>92</v>
      </c>
      <c r="GPS47" s="8" t="s">
        <v>132</v>
      </c>
      <c r="GPT47" s="22" t="s">
        <v>46</v>
      </c>
      <c r="GPU47" s="8" t="s">
        <v>433</v>
      </c>
      <c r="GPV47" s="32" t="s">
        <v>92</v>
      </c>
      <c r="GPW47" s="8" t="s">
        <v>132</v>
      </c>
      <c r="GPX47" s="22" t="s">
        <v>46</v>
      </c>
      <c r="GPY47" s="8" t="s">
        <v>433</v>
      </c>
      <c r="GPZ47" s="32" t="s">
        <v>92</v>
      </c>
      <c r="GQA47" s="8" t="s">
        <v>132</v>
      </c>
      <c r="GQB47" s="22" t="s">
        <v>46</v>
      </c>
      <c r="GQC47" s="8" t="s">
        <v>433</v>
      </c>
      <c r="GQD47" s="32" t="s">
        <v>92</v>
      </c>
      <c r="GQE47" s="8" t="s">
        <v>132</v>
      </c>
      <c r="GQF47" s="22" t="s">
        <v>46</v>
      </c>
      <c r="GQG47" s="8" t="s">
        <v>433</v>
      </c>
      <c r="GQH47" s="32" t="s">
        <v>92</v>
      </c>
      <c r="GQI47" s="8" t="s">
        <v>132</v>
      </c>
      <c r="GQJ47" s="22" t="s">
        <v>46</v>
      </c>
      <c r="GQK47" s="8" t="s">
        <v>433</v>
      </c>
      <c r="GQL47" s="32" t="s">
        <v>92</v>
      </c>
      <c r="GQM47" s="8" t="s">
        <v>132</v>
      </c>
      <c r="GQN47" s="22" t="s">
        <v>46</v>
      </c>
      <c r="GQO47" s="8" t="s">
        <v>433</v>
      </c>
      <c r="GQP47" s="32" t="s">
        <v>92</v>
      </c>
      <c r="GQQ47" s="8" t="s">
        <v>132</v>
      </c>
      <c r="GQR47" s="22" t="s">
        <v>46</v>
      </c>
      <c r="GQS47" s="8" t="s">
        <v>433</v>
      </c>
      <c r="GQT47" s="32" t="s">
        <v>92</v>
      </c>
      <c r="GQU47" s="8" t="s">
        <v>132</v>
      </c>
      <c r="GQV47" s="22" t="s">
        <v>46</v>
      </c>
      <c r="GQW47" s="8" t="s">
        <v>433</v>
      </c>
      <c r="GQX47" s="32" t="s">
        <v>92</v>
      </c>
      <c r="GQY47" s="8" t="s">
        <v>132</v>
      </c>
      <c r="GQZ47" s="22" t="s">
        <v>46</v>
      </c>
      <c r="GRA47" s="8" t="s">
        <v>433</v>
      </c>
      <c r="GRB47" s="32" t="s">
        <v>92</v>
      </c>
      <c r="GRC47" s="8" t="s">
        <v>132</v>
      </c>
      <c r="GRD47" s="22" t="s">
        <v>46</v>
      </c>
      <c r="GRE47" s="8" t="s">
        <v>433</v>
      </c>
      <c r="GRF47" s="32" t="s">
        <v>92</v>
      </c>
      <c r="GRG47" s="8" t="s">
        <v>132</v>
      </c>
      <c r="GRH47" s="22" t="s">
        <v>46</v>
      </c>
      <c r="GRI47" s="8" t="s">
        <v>433</v>
      </c>
      <c r="GRJ47" s="32" t="s">
        <v>92</v>
      </c>
      <c r="GRK47" s="8" t="s">
        <v>132</v>
      </c>
      <c r="GRL47" s="22" t="s">
        <v>46</v>
      </c>
      <c r="GRM47" s="8" t="s">
        <v>433</v>
      </c>
      <c r="GRN47" s="32" t="s">
        <v>92</v>
      </c>
      <c r="GRO47" s="8" t="s">
        <v>132</v>
      </c>
      <c r="GRP47" s="22" t="s">
        <v>46</v>
      </c>
      <c r="GRQ47" s="8" t="s">
        <v>433</v>
      </c>
      <c r="GRR47" s="32" t="s">
        <v>92</v>
      </c>
      <c r="GRS47" s="8" t="s">
        <v>132</v>
      </c>
      <c r="GRT47" s="22" t="s">
        <v>46</v>
      </c>
      <c r="GRU47" s="8" t="s">
        <v>433</v>
      </c>
      <c r="GRV47" s="32" t="s">
        <v>92</v>
      </c>
      <c r="GRW47" s="8" t="s">
        <v>132</v>
      </c>
      <c r="GRX47" s="22" t="s">
        <v>46</v>
      </c>
      <c r="GRY47" s="8" t="s">
        <v>433</v>
      </c>
      <c r="GRZ47" s="32" t="s">
        <v>92</v>
      </c>
      <c r="GSA47" s="8" t="s">
        <v>132</v>
      </c>
      <c r="GSB47" s="22" t="s">
        <v>46</v>
      </c>
      <c r="GSC47" s="8" t="s">
        <v>433</v>
      </c>
      <c r="GSD47" s="32" t="s">
        <v>92</v>
      </c>
      <c r="GSE47" s="8" t="s">
        <v>132</v>
      </c>
      <c r="GSF47" s="22" t="s">
        <v>46</v>
      </c>
      <c r="GSG47" s="8" t="s">
        <v>433</v>
      </c>
      <c r="GSH47" s="32" t="s">
        <v>92</v>
      </c>
      <c r="GSI47" s="8" t="s">
        <v>132</v>
      </c>
      <c r="GSJ47" s="22" t="s">
        <v>46</v>
      </c>
      <c r="GSK47" s="8" t="s">
        <v>433</v>
      </c>
      <c r="GSL47" s="32" t="s">
        <v>92</v>
      </c>
      <c r="GSM47" s="8" t="s">
        <v>132</v>
      </c>
      <c r="GSN47" s="22" t="s">
        <v>46</v>
      </c>
      <c r="GSO47" s="8" t="s">
        <v>433</v>
      </c>
      <c r="GSP47" s="32" t="s">
        <v>92</v>
      </c>
      <c r="GSQ47" s="8" t="s">
        <v>132</v>
      </c>
      <c r="GSR47" s="22" t="s">
        <v>46</v>
      </c>
      <c r="GSS47" s="8" t="s">
        <v>433</v>
      </c>
      <c r="GST47" s="32" t="s">
        <v>92</v>
      </c>
      <c r="GSU47" s="8" t="s">
        <v>132</v>
      </c>
      <c r="GSV47" s="22" t="s">
        <v>46</v>
      </c>
      <c r="GSW47" s="8" t="s">
        <v>433</v>
      </c>
      <c r="GSX47" s="32" t="s">
        <v>92</v>
      </c>
      <c r="GSY47" s="8" t="s">
        <v>132</v>
      </c>
      <c r="GSZ47" s="22" t="s">
        <v>46</v>
      </c>
      <c r="GTA47" s="8" t="s">
        <v>433</v>
      </c>
      <c r="GTB47" s="32" t="s">
        <v>92</v>
      </c>
      <c r="GTC47" s="8" t="s">
        <v>132</v>
      </c>
      <c r="GTD47" s="22" t="s">
        <v>46</v>
      </c>
      <c r="GTE47" s="8" t="s">
        <v>433</v>
      </c>
      <c r="GTF47" s="32" t="s">
        <v>92</v>
      </c>
      <c r="GTG47" s="8" t="s">
        <v>132</v>
      </c>
      <c r="GTH47" s="22" t="s">
        <v>46</v>
      </c>
      <c r="GTI47" s="8" t="s">
        <v>433</v>
      </c>
      <c r="GTJ47" s="32" t="s">
        <v>92</v>
      </c>
      <c r="GTK47" s="8" t="s">
        <v>132</v>
      </c>
      <c r="GTL47" s="22" t="s">
        <v>46</v>
      </c>
      <c r="GTM47" s="8" t="s">
        <v>433</v>
      </c>
      <c r="GTN47" s="32" t="s">
        <v>92</v>
      </c>
      <c r="GTO47" s="8" t="s">
        <v>132</v>
      </c>
      <c r="GTP47" s="22" t="s">
        <v>46</v>
      </c>
      <c r="GTQ47" s="8" t="s">
        <v>433</v>
      </c>
      <c r="GTR47" s="32" t="s">
        <v>92</v>
      </c>
      <c r="GTS47" s="8" t="s">
        <v>132</v>
      </c>
      <c r="GTT47" s="22" t="s">
        <v>46</v>
      </c>
      <c r="GTU47" s="8" t="s">
        <v>433</v>
      </c>
      <c r="GTV47" s="32" t="s">
        <v>92</v>
      </c>
      <c r="GTW47" s="8" t="s">
        <v>132</v>
      </c>
      <c r="GTX47" s="22" t="s">
        <v>46</v>
      </c>
      <c r="GTY47" s="8" t="s">
        <v>433</v>
      </c>
      <c r="GTZ47" s="32" t="s">
        <v>92</v>
      </c>
      <c r="GUA47" s="8" t="s">
        <v>132</v>
      </c>
      <c r="GUB47" s="22" t="s">
        <v>46</v>
      </c>
      <c r="GUC47" s="8" t="s">
        <v>433</v>
      </c>
      <c r="GUD47" s="32" t="s">
        <v>92</v>
      </c>
      <c r="GUE47" s="8" t="s">
        <v>132</v>
      </c>
      <c r="GUF47" s="22" t="s">
        <v>46</v>
      </c>
      <c r="GUG47" s="8" t="s">
        <v>433</v>
      </c>
      <c r="GUH47" s="32" t="s">
        <v>92</v>
      </c>
      <c r="GUI47" s="8" t="s">
        <v>132</v>
      </c>
      <c r="GUJ47" s="22" t="s">
        <v>46</v>
      </c>
      <c r="GUK47" s="8" t="s">
        <v>433</v>
      </c>
      <c r="GUL47" s="32" t="s">
        <v>92</v>
      </c>
      <c r="GUM47" s="8" t="s">
        <v>132</v>
      </c>
      <c r="GUN47" s="22" t="s">
        <v>46</v>
      </c>
      <c r="GUO47" s="8" t="s">
        <v>433</v>
      </c>
      <c r="GUP47" s="32" t="s">
        <v>92</v>
      </c>
      <c r="GUQ47" s="8" t="s">
        <v>132</v>
      </c>
      <c r="GUR47" s="22" t="s">
        <v>46</v>
      </c>
      <c r="GUS47" s="8" t="s">
        <v>433</v>
      </c>
      <c r="GUT47" s="32" t="s">
        <v>92</v>
      </c>
      <c r="GUU47" s="8" t="s">
        <v>132</v>
      </c>
      <c r="GUV47" s="22" t="s">
        <v>46</v>
      </c>
      <c r="GUW47" s="8" t="s">
        <v>433</v>
      </c>
      <c r="GUX47" s="32" t="s">
        <v>92</v>
      </c>
      <c r="GUY47" s="8" t="s">
        <v>132</v>
      </c>
      <c r="GUZ47" s="22" t="s">
        <v>46</v>
      </c>
      <c r="GVA47" s="8" t="s">
        <v>433</v>
      </c>
      <c r="GVB47" s="32" t="s">
        <v>92</v>
      </c>
      <c r="GVC47" s="8" t="s">
        <v>132</v>
      </c>
      <c r="GVD47" s="22" t="s">
        <v>46</v>
      </c>
      <c r="GVE47" s="8" t="s">
        <v>433</v>
      </c>
      <c r="GVF47" s="32" t="s">
        <v>92</v>
      </c>
      <c r="GVG47" s="8" t="s">
        <v>132</v>
      </c>
      <c r="GVH47" s="22" t="s">
        <v>46</v>
      </c>
      <c r="GVI47" s="8" t="s">
        <v>433</v>
      </c>
      <c r="GVJ47" s="32" t="s">
        <v>92</v>
      </c>
      <c r="GVK47" s="8" t="s">
        <v>132</v>
      </c>
      <c r="GVL47" s="22" t="s">
        <v>46</v>
      </c>
      <c r="GVM47" s="8" t="s">
        <v>433</v>
      </c>
      <c r="GVN47" s="32" t="s">
        <v>92</v>
      </c>
      <c r="GVO47" s="8" t="s">
        <v>132</v>
      </c>
      <c r="GVP47" s="22" t="s">
        <v>46</v>
      </c>
      <c r="GVQ47" s="8" t="s">
        <v>433</v>
      </c>
      <c r="GVR47" s="32" t="s">
        <v>92</v>
      </c>
      <c r="GVS47" s="8" t="s">
        <v>132</v>
      </c>
      <c r="GVT47" s="22" t="s">
        <v>46</v>
      </c>
      <c r="GVU47" s="8" t="s">
        <v>433</v>
      </c>
      <c r="GVV47" s="32" t="s">
        <v>92</v>
      </c>
      <c r="GVW47" s="8" t="s">
        <v>132</v>
      </c>
      <c r="GVX47" s="22" t="s">
        <v>46</v>
      </c>
      <c r="GVY47" s="8" t="s">
        <v>433</v>
      </c>
      <c r="GVZ47" s="32" t="s">
        <v>92</v>
      </c>
      <c r="GWA47" s="8" t="s">
        <v>132</v>
      </c>
      <c r="GWB47" s="22" t="s">
        <v>46</v>
      </c>
      <c r="GWC47" s="8" t="s">
        <v>433</v>
      </c>
      <c r="GWD47" s="32" t="s">
        <v>92</v>
      </c>
      <c r="GWE47" s="8" t="s">
        <v>132</v>
      </c>
      <c r="GWF47" s="22" t="s">
        <v>46</v>
      </c>
      <c r="GWG47" s="8" t="s">
        <v>433</v>
      </c>
      <c r="GWH47" s="32" t="s">
        <v>92</v>
      </c>
      <c r="GWI47" s="8" t="s">
        <v>132</v>
      </c>
      <c r="GWJ47" s="22" t="s">
        <v>46</v>
      </c>
      <c r="GWK47" s="8" t="s">
        <v>433</v>
      </c>
      <c r="GWL47" s="32" t="s">
        <v>92</v>
      </c>
      <c r="GWM47" s="8" t="s">
        <v>132</v>
      </c>
      <c r="GWN47" s="22" t="s">
        <v>46</v>
      </c>
      <c r="GWO47" s="8" t="s">
        <v>433</v>
      </c>
      <c r="GWP47" s="32" t="s">
        <v>92</v>
      </c>
      <c r="GWQ47" s="8" t="s">
        <v>132</v>
      </c>
      <c r="GWR47" s="22" t="s">
        <v>46</v>
      </c>
      <c r="GWS47" s="8" t="s">
        <v>433</v>
      </c>
      <c r="GWT47" s="32" t="s">
        <v>92</v>
      </c>
      <c r="GWU47" s="8" t="s">
        <v>132</v>
      </c>
      <c r="GWV47" s="22" t="s">
        <v>46</v>
      </c>
      <c r="GWW47" s="8" t="s">
        <v>433</v>
      </c>
      <c r="GWX47" s="32" t="s">
        <v>92</v>
      </c>
      <c r="GWY47" s="8" t="s">
        <v>132</v>
      </c>
      <c r="GWZ47" s="22" t="s">
        <v>46</v>
      </c>
      <c r="GXA47" s="8" t="s">
        <v>433</v>
      </c>
      <c r="GXB47" s="32" t="s">
        <v>92</v>
      </c>
      <c r="GXC47" s="8" t="s">
        <v>132</v>
      </c>
      <c r="GXD47" s="22" t="s">
        <v>46</v>
      </c>
      <c r="GXE47" s="8" t="s">
        <v>433</v>
      </c>
      <c r="GXF47" s="32" t="s">
        <v>92</v>
      </c>
      <c r="GXG47" s="8" t="s">
        <v>132</v>
      </c>
      <c r="GXH47" s="22" t="s">
        <v>46</v>
      </c>
      <c r="GXI47" s="8" t="s">
        <v>433</v>
      </c>
      <c r="GXJ47" s="32" t="s">
        <v>92</v>
      </c>
      <c r="GXK47" s="8" t="s">
        <v>132</v>
      </c>
      <c r="GXL47" s="22" t="s">
        <v>46</v>
      </c>
      <c r="GXM47" s="8" t="s">
        <v>433</v>
      </c>
      <c r="GXN47" s="32" t="s">
        <v>92</v>
      </c>
      <c r="GXO47" s="8" t="s">
        <v>132</v>
      </c>
      <c r="GXP47" s="22" t="s">
        <v>46</v>
      </c>
      <c r="GXQ47" s="8" t="s">
        <v>433</v>
      </c>
      <c r="GXR47" s="32" t="s">
        <v>92</v>
      </c>
      <c r="GXS47" s="8" t="s">
        <v>132</v>
      </c>
      <c r="GXT47" s="22" t="s">
        <v>46</v>
      </c>
      <c r="GXU47" s="8" t="s">
        <v>433</v>
      </c>
      <c r="GXV47" s="32" t="s">
        <v>92</v>
      </c>
      <c r="GXW47" s="8" t="s">
        <v>132</v>
      </c>
      <c r="GXX47" s="22" t="s">
        <v>46</v>
      </c>
      <c r="GXY47" s="8" t="s">
        <v>433</v>
      </c>
      <c r="GXZ47" s="32" t="s">
        <v>92</v>
      </c>
      <c r="GYA47" s="8" t="s">
        <v>132</v>
      </c>
      <c r="GYB47" s="22" t="s">
        <v>46</v>
      </c>
      <c r="GYC47" s="8" t="s">
        <v>433</v>
      </c>
      <c r="GYD47" s="32" t="s">
        <v>92</v>
      </c>
      <c r="GYE47" s="8" t="s">
        <v>132</v>
      </c>
      <c r="GYF47" s="22" t="s">
        <v>46</v>
      </c>
      <c r="GYG47" s="8" t="s">
        <v>433</v>
      </c>
      <c r="GYH47" s="32" t="s">
        <v>92</v>
      </c>
      <c r="GYI47" s="8" t="s">
        <v>132</v>
      </c>
      <c r="GYJ47" s="22" t="s">
        <v>46</v>
      </c>
      <c r="GYK47" s="8" t="s">
        <v>433</v>
      </c>
      <c r="GYL47" s="32" t="s">
        <v>92</v>
      </c>
      <c r="GYM47" s="8" t="s">
        <v>132</v>
      </c>
      <c r="GYN47" s="22" t="s">
        <v>46</v>
      </c>
      <c r="GYO47" s="8" t="s">
        <v>433</v>
      </c>
      <c r="GYP47" s="32" t="s">
        <v>92</v>
      </c>
      <c r="GYQ47" s="8" t="s">
        <v>132</v>
      </c>
      <c r="GYR47" s="22" t="s">
        <v>46</v>
      </c>
      <c r="GYS47" s="8" t="s">
        <v>433</v>
      </c>
      <c r="GYT47" s="32" t="s">
        <v>92</v>
      </c>
      <c r="GYU47" s="8" t="s">
        <v>132</v>
      </c>
      <c r="GYV47" s="22" t="s">
        <v>46</v>
      </c>
      <c r="GYW47" s="8" t="s">
        <v>433</v>
      </c>
      <c r="GYX47" s="32" t="s">
        <v>92</v>
      </c>
      <c r="GYY47" s="8" t="s">
        <v>132</v>
      </c>
      <c r="GYZ47" s="22" t="s">
        <v>46</v>
      </c>
      <c r="GZA47" s="8" t="s">
        <v>433</v>
      </c>
      <c r="GZB47" s="32" t="s">
        <v>92</v>
      </c>
      <c r="GZC47" s="8" t="s">
        <v>132</v>
      </c>
      <c r="GZD47" s="22" t="s">
        <v>46</v>
      </c>
      <c r="GZE47" s="8" t="s">
        <v>433</v>
      </c>
      <c r="GZF47" s="32" t="s">
        <v>92</v>
      </c>
      <c r="GZG47" s="8" t="s">
        <v>132</v>
      </c>
      <c r="GZH47" s="22" t="s">
        <v>46</v>
      </c>
      <c r="GZI47" s="8" t="s">
        <v>433</v>
      </c>
      <c r="GZJ47" s="32" t="s">
        <v>92</v>
      </c>
      <c r="GZK47" s="8" t="s">
        <v>132</v>
      </c>
      <c r="GZL47" s="22" t="s">
        <v>46</v>
      </c>
      <c r="GZM47" s="8" t="s">
        <v>433</v>
      </c>
      <c r="GZN47" s="32" t="s">
        <v>92</v>
      </c>
      <c r="GZO47" s="8" t="s">
        <v>132</v>
      </c>
      <c r="GZP47" s="22" t="s">
        <v>46</v>
      </c>
      <c r="GZQ47" s="8" t="s">
        <v>433</v>
      </c>
      <c r="GZR47" s="32" t="s">
        <v>92</v>
      </c>
      <c r="GZS47" s="8" t="s">
        <v>132</v>
      </c>
      <c r="GZT47" s="22" t="s">
        <v>46</v>
      </c>
      <c r="GZU47" s="8" t="s">
        <v>433</v>
      </c>
      <c r="GZV47" s="32" t="s">
        <v>92</v>
      </c>
      <c r="GZW47" s="8" t="s">
        <v>132</v>
      </c>
      <c r="GZX47" s="22" t="s">
        <v>46</v>
      </c>
      <c r="GZY47" s="8" t="s">
        <v>433</v>
      </c>
      <c r="GZZ47" s="32" t="s">
        <v>92</v>
      </c>
      <c r="HAA47" s="8" t="s">
        <v>132</v>
      </c>
      <c r="HAB47" s="22" t="s">
        <v>46</v>
      </c>
      <c r="HAC47" s="8" t="s">
        <v>433</v>
      </c>
      <c r="HAD47" s="32" t="s">
        <v>92</v>
      </c>
      <c r="HAE47" s="8" t="s">
        <v>132</v>
      </c>
      <c r="HAF47" s="22" t="s">
        <v>46</v>
      </c>
      <c r="HAG47" s="8" t="s">
        <v>433</v>
      </c>
      <c r="HAH47" s="32" t="s">
        <v>92</v>
      </c>
      <c r="HAI47" s="8" t="s">
        <v>132</v>
      </c>
      <c r="HAJ47" s="22" t="s">
        <v>46</v>
      </c>
      <c r="HAK47" s="8" t="s">
        <v>433</v>
      </c>
      <c r="HAL47" s="32" t="s">
        <v>92</v>
      </c>
      <c r="HAM47" s="8" t="s">
        <v>132</v>
      </c>
      <c r="HAN47" s="22" t="s">
        <v>46</v>
      </c>
      <c r="HAO47" s="8" t="s">
        <v>433</v>
      </c>
      <c r="HAP47" s="32" t="s">
        <v>92</v>
      </c>
      <c r="HAQ47" s="8" t="s">
        <v>132</v>
      </c>
      <c r="HAR47" s="22" t="s">
        <v>46</v>
      </c>
      <c r="HAS47" s="8" t="s">
        <v>433</v>
      </c>
      <c r="HAT47" s="32" t="s">
        <v>92</v>
      </c>
      <c r="HAU47" s="8" t="s">
        <v>132</v>
      </c>
      <c r="HAV47" s="22" t="s">
        <v>46</v>
      </c>
      <c r="HAW47" s="8" t="s">
        <v>433</v>
      </c>
      <c r="HAX47" s="32" t="s">
        <v>92</v>
      </c>
      <c r="HAY47" s="8" t="s">
        <v>132</v>
      </c>
      <c r="HAZ47" s="22" t="s">
        <v>46</v>
      </c>
      <c r="HBA47" s="8" t="s">
        <v>433</v>
      </c>
      <c r="HBB47" s="32" t="s">
        <v>92</v>
      </c>
      <c r="HBC47" s="8" t="s">
        <v>132</v>
      </c>
      <c r="HBD47" s="22" t="s">
        <v>46</v>
      </c>
      <c r="HBE47" s="8" t="s">
        <v>433</v>
      </c>
      <c r="HBF47" s="32" t="s">
        <v>92</v>
      </c>
      <c r="HBG47" s="8" t="s">
        <v>132</v>
      </c>
      <c r="HBH47" s="22" t="s">
        <v>46</v>
      </c>
      <c r="HBI47" s="8" t="s">
        <v>433</v>
      </c>
      <c r="HBJ47" s="32" t="s">
        <v>92</v>
      </c>
      <c r="HBK47" s="8" t="s">
        <v>132</v>
      </c>
      <c r="HBL47" s="22" t="s">
        <v>46</v>
      </c>
      <c r="HBM47" s="8" t="s">
        <v>433</v>
      </c>
      <c r="HBN47" s="32" t="s">
        <v>92</v>
      </c>
      <c r="HBO47" s="8" t="s">
        <v>132</v>
      </c>
      <c r="HBP47" s="22" t="s">
        <v>46</v>
      </c>
      <c r="HBQ47" s="8" t="s">
        <v>433</v>
      </c>
      <c r="HBR47" s="32" t="s">
        <v>92</v>
      </c>
      <c r="HBS47" s="8" t="s">
        <v>132</v>
      </c>
      <c r="HBT47" s="22" t="s">
        <v>46</v>
      </c>
      <c r="HBU47" s="8" t="s">
        <v>433</v>
      </c>
      <c r="HBV47" s="32" t="s">
        <v>92</v>
      </c>
      <c r="HBW47" s="8" t="s">
        <v>132</v>
      </c>
      <c r="HBX47" s="22" t="s">
        <v>46</v>
      </c>
      <c r="HBY47" s="8" t="s">
        <v>433</v>
      </c>
      <c r="HBZ47" s="32" t="s">
        <v>92</v>
      </c>
      <c r="HCA47" s="8" t="s">
        <v>132</v>
      </c>
      <c r="HCB47" s="22" t="s">
        <v>46</v>
      </c>
      <c r="HCC47" s="8" t="s">
        <v>433</v>
      </c>
      <c r="HCD47" s="32" t="s">
        <v>92</v>
      </c>
      <c r="HCE47" s="8" t="s">
        <v>132</v>
      </c>
      <c r="HCF47" s="22" t="s">
        <v>46</v>
      </c>
      <c r="HCG47" s="8" t="s">
        <v>433</v>
      </c>
      <c r="HCH47" s="32" t="s">
        <v>92</v>
      </c>
      <c r="HCI47" s="8" t="s">
        <v>132</v>
      </c>
      <c r="HCJ47" s="22" t="s">
        <v>46</v>
      </c>
      <c r="HCK47" s="8" t="s">
        <v>433</v>
      </c>
      <c r="HCL47" s="32" t="s">
        <v>92</v>
      </c>
      <c r="HCM47" s="8" t="s">
        <v>132</v>
      </c>
      <c r="HCN47" s="22" t="s">
        <v>46</v>
      </c>
      <c r="HCO47" s="8" t="s">
        <v>433</v>
      </c>
      <c r="HCP47" s="32" t="s">
        <v>92</v>
      </c>
      <c r="HCQ47" s="8" t="s">
        <v>132</v>
      </c>
      <c r="HCR47" s="22" t="s">
        <v>46</v>
      </c>
      <c r="HCS47" s="8" t="s">
        <v>433</v>
      </c>
      <c r="HCT47" s="32" t="s">
        <v>92</v>
      </c>
      <c r="HCU47" s="8" t="s">
        <v>132</v>
      </c>
      <c r="HCV47" s="22" t="s">
        <v>46</v>
      </c>
      <c r="HCW47" s="8" t="s">
        <v>433</v>
      </c>
      <c r="HCX47" s="32" t="s">
        <v>92</v>
      </c>
      <c r="HCY47" s="8" t="s">
        <v>132</v>
      </c>
      <c r="HCZ47" s="22" t="s">
        <v>46</v>
      </c>
      <c r="HDA47" s="8" t="s">
        <v>433</v>
      </c>
      <c r="HDB47" s="32" t="s">
        <v>92</v>
      </c>
      <c r="HDC47" s="8" t="s">
        <v>132</v>
      </c>
      <c r="HDD47" s="22" t="s">
        <v>46</v>
      </c>
      <c r="HDE47" s="8" t="s">
        <v>433</v>
      </c>
      <c r="HDF47" s="32" t="s">
        <v>92</v>
      </c>
      <c r="HDG47" s="8" t="s">
        <v>132</v>
      </c>
      <c r="HDH47" s="22" t="s">
        <v>46</v>
      </c>
      <c r="HDI47" s="8" t="s">
        <v>433</v>
      </c>
      <c r="HDJ47" s="32" t="s">
        <v>92</v>
      </c>
      <c r="HDK47" s="8" t="s">
        <v>132</v>
      </c>
      <c r="HDL47" s="22" t="s">
        <v>46</v>
      </c>
      <c r="HDM47" s="8" t="s">
        <v>433</v>
      </c>
      <c r="HDN47" s="32" t="s">
        <v>92</v>
      </c>
      <c r="HDO47" s="8" t="s">
        <v>132</v>
      </c>
      <c r="HDP47" s="22" t="s">
        <v>46</v>
      </c>
      <c r="HDQ47" s="8" t="s">
        <v>433</v>
      </c>
      <c r="HDR47" s="32" t="s">
        <v>92</v>
      </c>
      <c r="HDS47" s="8" t="s">
        <v>132</v>
      </c>
      <c r="HDT47" s="22" t="s">
        <v>46</v>
      </c>
      <c r="HDU47" s="8" t="s">
        <v>433</v>
      </c>
      <c r="HDV47" s="32" t="s">
        <v>92</v>
      </c>
      <c r="HDW47" s="8" t="s">
        <v>132</v>
      </c>
      <c r="HDX47" s="22" t="s">
        <v>46</v>
      </c>
      <c r="HDY47" s="8" t="s">
        <v>433</v>
      </c>
      <c r="HDZ47" s="32" t="s">
        <v>92</v>
      </c>
      <c r="HEA47" s="8" t="s">
        <v>132</v>
      </c>
      <c r="HEB47" s="22" t="s">
        <v>46</v>
      </c>
      <c r="HEC47" s="8" t="s">
        <v>433</v>
      </c>
      <c r="HED47" s="32" t="s">
        <v>92</v>
      </c>
      <c r="HEE47" s="8" t="s">
        <v>132</v>
      </c>
      <c r="HEF47" s="22" t="s">
        <v>46</v>
      </c>
      <c r="HEG47" s="8" t="s">
        <v>433</v>
      </c>
      <c r="HEH47" s="32" t="s">
        <v>92</v>
      </c>
      <c r="HEI47" s="8" t="s">
        <v>132</v>
      </c>
      <c r="HEJ47" s="22" t="s">
        <v>46</v>
      </c>
      <c r="HEK47" s="8" t="s">
        <v>433</v>
      </c>
      <c r="HEL47" s="32" t="s">
        <v>92</v>
      </c>
      <c r="HEM47" s="8" t="s">
        <v>132</v>
      </c>
      <c r="HEN47" s="22" t="s">
        <v>46</v>
      </c>
      <c r="HEO47" s="8" t="s">
        <v>433</v>
      </c>
      <c r="HEP47" s="32" t="s">
        <v>92</v>
      </c>
      <c r="HEQ47" s="8" t="s">
        <v>132</v>
      </c>
      <c r="HER47" s="22" t="s">
        <v>46</v>
      </c>
      <c r="HES47" s="8" t="s">
        <v>433</v>
      </c>
      <c r="HET47" s="32" t="s">
        <v>92</v>
      </c>
      <c r="HEU47" s="8" t="s">
        <v>132</v>
      </c>
      <c r="HEV47" s="22" t="s">
        <v>46</v>
      </c>
      <c r="HEW47" s="8" t="s">
        <v>433</v>
      </c>
      <c r="HEX47" s="32" t="s">
        <v>92</v>
      </c>
      <c r="HEY47" s="8" t="s">
        <v>132</v>
      </c>
      <c r="HEZ47" s="22" t="s">
        <v>46</v>
      </c>
      <c r="HFA47" s="8" t="s">
        <v>433</v>
      </c>
      <c r="HFB47" s="32" t="s">
        <v>92</v>
      </c>
      <c r="HFC47" s="8" t="s">
        <v>132</v>
      </c>
      <c r="HFD47" s="22" t="s">
        <v>46</v>
      </c>
      <c r="HFE47" s="8" t="s">
        <v>433</v>
      </c>
      <c r="HFF47" s="32" t="s">
        <v>92</v>
      </c>
      <c r="HFG47" s="8" t="s">
        <v>132</v>
      </c>
      <c r="HFH47" s="22" t="s">
        <v>46</v>
      </c>
      <c r="HFI47" s="8" t="s">
        <v>433</v>
      </c>
      <c r="HFJ47" s="32" t="s">
        <v>92</v>
      </c>
      <c r="HFK47" s="8" t="s">
        <v>132</v>
      </c>
      <c r="HFL47" s="22" t="s">
        <v>46</v>
      </c>
      <c r="HFM47" s="8" t="s">
        <v>433</v>
      </c>
      <c r="HFN47" s="32" t="s">
        <v>92</v>
      </c>
      <c r="HFO47" s="8" t="s">
        <v>132</v>
      </c>
      <c r="HFP47" s="22" t="s">
        <v>46</v>
      </c>
      <c r="HFQ47" s="8" t="s">
        <v>433</v>
      </c>
      <c r="HFR47" s="32" t="s">
        <v>92</v>
      </c>
      <c r="HFS47" s="8" t="s">
        <v>132</v>
      </c>
      <c r="HFT47" s="22" t="s">
        <v>46</v>
      </c>
      <c r="HFU47" s="8" t="s">
        <v>433</v>
      </c>
      <c r="HFV47" s="32" t="s">
        <v>92</v>
      </c>
      <c r="HFW47" s="8" t="s">
        <v>132</v>
      </c>
      <c r="HFX47" s="22" t="s">
        <v>46</v>
      </c>
      <c r="HFY47" s="8" t="s">
        <v>433</v>
      </c>
      <c r="HFZ47" s="32" t="s">
        <v>92</v>
      </c>
      <c r="HGA47" s="8" t="s">
        <v>132</v>
      </c>
      <c r="HGB47" s="22" t="s">
        <v>46</v>
      </c>
      <c r="HGC47" s="8" t="s">
        <v>433</v>
      </c>
      <c r="HGD47" s="32" t="s">
        <v>92</v>
      </c>
      <c r="HGE47" s="8" t="s">
        <v>132</v>
      </c>
      <c r="HGF47" s="22" t="s">
        <v>46</v>
      </c>
      <c r="HGG47" s="8" t="s">
        <v>433</v>
      </c>
      <c r="HGH47" s="32" t="s">
        <v>92</v>
      </c>
      <c r="HGI47" s="8" t="s">
        <v>132</v>
      </c>
      <c r="HGJ47" s="22" t="s">
        <v>46</v>
      </c>
      <c r="HGK47" s="8" t="s">
        <v>433</v>
      </c>
      <c r="HGL47" s="32" t="s">
        <v>92</v>
      </c>
      <c r="HGM47" s="8" t="s">
        <v>132</v>
      </c>
      <c r="HGN47" s="22" t="s">
        <v>46</v>
      </c>
      <c r="HGO47" s="8" t="s">
        <v>433</v>
      </c>
      <c r="HGP47" s="32" t="s">
        <v>92</v>
      </c>
      <c r="HGQ47" s="8" t="s">
        <v>132</v>
      </c>
      <c r="HGR47" s="22" t="s">
        <v>46</v>
      </c>
      <c r="HGS47" s="8" t="s">
        <v>433</v>
      </c>
      <c r="HGT47" s="32" t="s">
        <v>92</v>
      </c>
      <c r="HGU47" s="8" t="s">
        <v>132</v>
      </c>
      <c r="HGV47" s="22" t="s">
        <v>46</v>
      </c>
      <c r="HGW47" s="8" t="s">
        <v>433</v>
      </c>
      <c r="HGX47" s="32" t="s">
        <v>92</v>
      </c>
      <c r="HGY47" s="8" t="s">
        <v>132</v>
      </c>
      <c r="HGZ47" s="22" t="s">
        <v>46</v>
      </c>
      <c r="HHA47" s="8" t="s">
        <v>433</v>
      </c>
      <c r="HHB47" s="32" t="s">
        <v>92</v>
      </c>
      <c r="HHC47" s="8" t="s">
        <v>132</v>
      </c>
      <c r="HHD47" s="22" t="s">
        <v>46</v>
      </c>
      <c r="HHE47" s="8" t="s">
        <v>433</v>
      </c>
      <c r="HHF47" s="32" t="s">
        <v>92</v>
      </c>
      <c r="HHG47" s="8" t="s">
        <v>132</v>
      </c>
      <c r="HHH47" s="22" t="s">
        <v>46</v>
      </c>
      <c r="HHI47" s="8" t="s">
        <v>433</v>
      </c>
      <c r="HHJ47" s="32" t="s">
        <v>92</v>
      </c>
      <c r="HHK47" s="8" t="s">
        <v>132</v>
      </c>
      <c r="HHL47" s="22" t="s">
        <v>46</v>
      </c>
      <c r="HHM47" s="8" t="s">
        <v>433</v>
      </c>
      <c r="HHN47" s="32" t="s">
        <v>92</v>
      </c>
      <c r="HHO47" s="8" t="s">
        <v>132</v>
      </c>
      <c r="HHP47" s="22" t="s">
        <v>46</v>
      </c>
      <c r="HHQ47" s="8" t="s">
        <v>433</v>
      </c>
      <c r="HHR47" s="32" t="s">
        <v>92</v>
      </c>
      <c r="HHS47" s="8" t="s">
        <v>132</v>
      </c>
      <c r="HHT47" s="22" t="s">
        <v>46</v>
      </c>
      <c r="HHU47" s="8" t="s">
        <v>433</v>
      </c>
      <c r="HHV47" s="32" t="s">
        <v>92</v>
      </c>
      <c r="HHW47" s="8" t="s">
        <v>132</v>
      </c>
      <c r="HHX47" s="22" t="s">
        <v>46</v>
      </c>
      <c r="HHY47" s="8" t="s">
        <v>433</v>
      </c>
      <c r="HHZ47" s="32" t="s">
        <v>92</v>
      </c>
      <c r="HIA47" s="8" t="s">
        <v>132</v>
      </c>
      <c r="HIB47" s="22" t="s">
        <v>46</v>
      </c>
      <c r="HIC47" s="8" t="s">
        <v>433</v>
      </c>
      <c r="HID47" s="32" t="s">
        <v>92</v>
      </c>
      <c r="HIE47" s="8" t="s">
        <v>132</v>
      </c>
      <c r="HIF47" s="22" t="s">
        <v>46</v>
      </c>
      <c r="HIG47" s="8" t="s">
        <v>433</v>
      </c>
      <c r="HIH47" s="32" t="s">
        <v>92</v>
      </c>
      <c r="HII47" s="8" t="s">
        <v>132</v>
      </c>
      <c r="HIJ47" s="22" t="s">
        <v>46</v>
      </c>
      <c r="HIK47" s="8" t="s">
        <v>433</v>
      </c>
      <c r="HIL47" s="32" t="s">
        <v>92</v>
      </c>
      <c r="HIM47" s="8" t="s">
        <v>132</v>
      </c>
      <c r="HIN47" s="22" t="s">
        <v>46</v>
      </c>
      <c r="HIO47" s="8" t="s">
        <v>433</v>
      </c>
      <c r="HIP47" s="32" t="s">
        <v>92</v>
      </c>
      <c r="HIQ47" s="8" t="s">
        <v>132</v>
      </c>
      <c r="HIR47" s="22" t="s">
        <v>46</v>
      </c>
      <c r="HIS47" s="8" t="s">
        <v>433</v>
      </c>
      <c r="HIT47" s="32" t="s">
        <v>92</v>
      </c>
      <c r="HIU47" s="8" t="s">
        <v>132</v>
      </c>
      <c r="HIV47" s="22" t="s">
        <v>46</v>
      </c>
      <c r="HIW47" s="8" t="s">
        <v>433</v>
      </c>
      <c r="HIX47" s="32" t="s">
        <v>92</v>
      </c>
      <c r="HIY47" s="8" t="s">
        <v>132</v>
      </c>
      <c r="HIZ47" s="22" t="s">
        <v>46</v>
      </c>
      <c r="HJA47" s="8" t="s">
        <v>433</v>
      </c>
      <c r="HJB47" s="32" t="s">
        <v>92</v>
      </c>
      <c r="HJC47" s="8" t="s">
        <v>132</v>
      </c>
      <c r="HJD47" s="22" t="s">
        <v>46</v>
      </c>
      <c r="HJE47" s="8" t="s">
        <v>433</v>
      </c>
      <c r="HJF47" s="32" t="s">
        <v>92</v>
      </c>
      <c r="HJG47" s="8" t="s">
        <v>132</v>
      </c>
      <c r="HJH47" s="22" t="s">
        <v>46</v>
      </c>
      <c r="HJI47" s="8" t="s">
        <v>433</v>
      </c>
      <c r="HJJ47" s="32" t="s">
        <v>92</v>
      </c>
      <c r="HJK47" s="8" t="s">
        <v>132</v>
      </c>
      <c r="HJL47" s="22" t="s">
        <v>46</v>
      </c>
      <c r="HJM47" s="8" t="s">
        <v>433</v>
      </c>
      <c r="HJN47" s="32" t="s">
        <v>92</v>
      </c>
      <c r="HJO47" s="8" t="s">
        <v>132</v>
      </c>
      <c r="HJP47" s="22" t="s">
        <v>46</v>
      </c>
      <c r="HJQ47" s="8" t="s">
        <v>433</v>
      </c>
      <c r="HJR47" s="32" t="s">
        <v>92</v>
      </c>
      <c r="HJS47" s="8" t="s">
        <v>132</v>
      </c>
      <c r="HJT47" s="22" t="s">
        <v>46</v>
      </c>
      <c r="HJU47" s="8" t="s">
        <v>433</v>
      </c>
      <c r="HJV47" s="32" t="s">
        <v>92</v>
      </c>
      <c r="HJW47" s="8" t="s">
        <v>132</v>
      </c>
      <c r="HJX47" s="22" t="s">
        <v>46</v>
      </c>
      <c r="HJY47" s="8" t="s">
        <v>433</v>
      </c>
      <c r="HJZ47" s="32" t="s">
        <v>92</v>
      </c>
      <c r="HKA47" s="8" t="s">
        <v>132</v>
      </c>
      <c r="HKB47" s="22" t="s">
        <v>46</v>
      </c>
      <c r="HKC47" s="8" t="s">
        <v>433</v>
      </c>
      <c r="HKD47" s="32" t="s">
        <v>92</v>
      </c>
      <c r="HKE47" s="8" t="s">
        <v>132</v>
      </c>
      <c r="HKF47" s="22" t="s">
        <v>46</v>
      </c>
      <c r="HKG47" s="8" t="s">
        <v>433</v>
      </c>
      <c r="HKH47" s="32" t="s">
        <v>92</v>
      </c>
      <c r="HKI47" s="8" t="s">
        <v>132</v>
      </c>
      <c r="HKJ47" s="22" t="s">
        <v>46</v>
      </c>
      <c r="HKK47" s="8" t="s">
        <v>433</v>
      </c>
      <c r="HKL47" s="32" t="s">
        <v>92</v>
      </c>
      <c r="HKM47" s="8" t="s">
        <v>132</v>
      </c>
      <c r="HKN47" s="22" t="s">
        <v>46</v>
      </c>
      <c r="HKO47" s="8" t="s">
        <v>433</v>
      </c>
      <c r="HKP47" s="32" t="s">
        <v>92</v>
      </c>
      <c r="HKQ47" s="8" t="s">
        <v>132</v>
      </c>
      <c r="HKR47" s="22" t="s">
        <v>46</v>
      </c>
      <c r="HKS47" s="8" t="s">
        <v>433</v>
      </c>
      <c r="HKT47" s="32" t="s">
        <v>92</v>
      </c>
      <c r="HKU47" s="8" t="s">
        <v>132</v>
      </c>
      <c r="HKV47" s="22" t="s">
        <v>46</v>
      </c>
      <c r="HKW47" s="8" t="s">
        <v>433</v>
      </c>
      <c r="HKX47" s="32" t="s">
        <v>92</v>
      </c>
      <c r="HKY47" s="8" t="s">
        <v>132</v>
      </c>
      <c r="HKZ47" s="22" t="s">
        <v>46</v>
      </c>
      <c r="HLA47" s="8" t="s">
        <v>433</v>
      </c>
      <c r="HLB47" s="32" t="s">
        <v>92</v>
      </c>
      <c r="HLC47" s="8" t="s">
        <v>132</v>
      </c>
      <c r="HLD47" s="22" t="s">
        <v>46</v>
      </c>
      <c r="HLE47" s="8" t="s">
        <v>433</v>
      </c>
      <c r="HLF47" s="32" t="s">
        <v>92</v>
      </c>
      <c r="HLG47" s="8" t="s">
        <v>132</v>
      </c>
      <c r="HLH47" s="22" t="s">
        <v>46</v>
      </c>
      <c r="HLI47" s="8" t="s">
        <v>433</v>
      </c>
      <c r="HLJ47" s="32" t="s">
        <v>92</v>
      </c>
      <c r="HLK47" s="8" t="s">
        <v>132</v>
      </c>
      <c r="HLL47" s="22" t="s">
        <v>46</v>
      </c>
      <c r="HLM47" s="8" t="s">
        <v>433</v>
      </c>
      <c r="HLN47" s="32" t="s">
        <v>92</v>
      </c>
      <c r="HLO47" s="8" t="s">
        <v>132</v>
      </c>
      <c r="HLP47" s="22" t="s">
        <v>46</v>
      </c>
      <c r="HLQ47" s="8" t="s">
        <v>433</v>
      </c>
      <c r="HLR47" s="32" t="s">
        <v>92</v>
      </c>
      <c r="HLS47" s="8" t="s">
        <v>132</v>
      </c>
      <c r="HLT47" s="22" t="s">
        <v>46</v>
      </c>
      <c r="HLU47" s="8" t="s">
        <v>433</v>
      </c>
      <c r="HLV47" s="32" t="s">
        <v>92</v>
      </c>
      <c r="HLW47" s="8" t="s">
        <v>132</v>
      </c>
      <c r="HLX47" s="22" t="s">
        <v>46</v>
      </c>
      <c r="HLY47" s="8" t="s">
        <v>433</v>
      </c>
      <c r="HLZ47" s="32" t="s">
        <v>92</v>
      </c>
      <c r="HMA47" s="8" t="s">
        <v>132</v>
      </c>
      <c r="HMB47" s="22" t="s">
        <v>46</v>
      </c>
      <c r="HMC47" s="8" t="s">
        <v>433</v>
      </c>
      <c r="HMD47" s="32" t="s">
        <v>92</v>
      </c>
      <c r="HME47" s="8" t="s">
        <v>132</v>
      </c>
      <c r="HMF47" s="22" t="s">
        <v>46</v>
      </c>
      <c r="HMG47" s="8" t="s">
        <v>433</v>
      </c>
      <c r="HMH47" s="32" t="s">
        <v>92</v>
      </c>
      <c r="HMI47" s="8" t="s">
        <v>132</v>
      </c>
      <c r="HMJ47" s="22" t="s">
        <v>46</v>
      </c>
      <c r="HMK47" s="8" t="s">
        <v>433</v>
      </c>
      <c r="HML47" s="32" t="s">
        <v>92</v>
      </c>
      <c r="HMM47" s="8" t="s">
        <v>132</v>
      </c>
      <c r="HMN47" s="22" t="s">
        <v>46</v>
      </c>
      <c r="HMO47" s="8" t="s">
        <v>433</v>
      </c>
      <c r="HMP47" s="32" t="s">
        <v>92</v>
      </c>
      <c r="HMQ47" s="8" t="s">
        <v>132</v>
      </c>
      <c r="HMR47" s="22" t="s">
        <v>46</v>
      </c>
      <c r="HMS47" s="8" t="s">
        <v>433</v>
      </c>
      <c r="HMT47" s="32" t="s">
        <v>92</v>
      </c>
      <c r="HMU47" s="8" t="s">
        <v>132</v>
      </c>
      <c r="HMV47" s="22" t="s">
        <v>46</v>
      </c>
      <c r="HMW47" s="8" t="s">
        <v>433</v>
      </c>
      <c r="HMX47" s="32" t="s">
        <v>92</v>
      </c>
      <c r="HMY47" s="8" t="s">
        <v>132</v>
      </c>
      <c r="HMZ47" s="22" t="s">
        <v>46</v>
      </c>
      <c r="HNA47" s="8" t="s">
        <v>433</v>
      </c>
      <c r="HNB47" s="32" t="s">
        <v>92</v>
      </c>
      <c r="HNC47" s="8" t="s">
        <v>132</v>
      </c>
      <c r="HND47" s="22" t="s">
        <v>46</v>
      </c>
      <c r="HNE47" s="8" t="s">
        <v>433</v>
      </c>
      <c r="HNF47" s="32" t="s">
        <v>92</v>
      </c>
      <c r="HNG47" s="8" t="s">
        <v>132</v>
      </c>
      <c r="HNH47" s="22" t="s">
        <v>46</v>
      </c>
      <c r="HNI47" s="8" t="s">
        <v>433</v>
      </c>
      <c r="HNJ47" s="32" t="s">
        <v>92</v>
      </c>
      <c r="HNK47" s="8" t="s">
        <v>132</v>
      </c>
      <c r="HNL47" s="22" t="s">
        <v>46</v>
      </c>
      <c r="HNM47" s="8" t="s">
        <v>433</v>
      </c>
      <c r="HNN47" s="32" t="s">
        <v>92</v>
      </c>
      <c r="HNO47" s="8" t="s">
        <v>132</v>
      </c>
      <c r="HNP47" s="22" t="s">
        <v>46</v>
      </c>
      <c r="HNQ47" s="8" t="s">
        <v>433</v>
      </c>
      <c r="HNR47" s="32" t="s">
        <v>92</v>
      </c>
      <c r="HNS47" s="8" t="s">
        <v>132</v>
      </c>
      <c r="HNT47" s="22" t="s">
        <v>46</v>
      </c>
      <c r="HNU47" s="8" t="s">
        <v>433</v>
      </c>
      <c r="HNV47" s="32" t="s">
        <v>92</v>
      </c>
      <c r="HNW47" s="8" t="s">
        <v>132</v>
      </c>
      <c r="HNX47" s="22" t="s">
        <v>46</v>
      </c>
      <c r="HNY47" s="8" t="s">
        <v>433</v>
      </c>
      <c r="HNZ47" s="32" t="s">
        <v>92</v>
      </c>
      <c r="HOA47" s="8" t="s">
        <v>132</v>
      </c>
      <c r="HOB47" s="22" t="s">
        <v>46</v>
      </c>
      <c r="HOC47" s="8" t="s">
        <v>433</v>
      </c>
      <c r="HOD47" s="32" t="s">
        <v>92</v>
      </c>
      <c r="HOE47" s="8" t="s">
        <v>132</v>
      </c>
      <c r="HOF47" s="22" t="s">
        <v>46</v>
      </c>
      <c r="HOG47" s="8" t="s">
        <v>433</v>
      </c>
      <c r="HOH47" s="32" t="s">
        <v>92</v>
      </c>
      <c r="HOI47" s="8" t="s">
        <v>132</v>
      </c>
      <c r="HOJ47" s="22" t="s">
        <v>46</v>
      </c>
      <c r="HOK47" s="8" t="s">
        <v>433</v>
      </c>
      <c r="HOL47" s="32" t="s">
        <v>92</v>
      </c>
      <c r="HOM47" s="8" t="s">
        <v>132</v>
      </c>
      <c r="HON47" s="22" t="s">
        <v>46</v>
      </c>
      <c r="HOO47" s="8" t="s">
        <v>433</v>
      </c>
      <c r="HOP47" s="32" t="s">
        <v>92</v>
      </c>
      <c r="HOQ47" s="8" t="s">
        <v>132</v>
      </c>
      <c r="HOR47" s="22" t="s">
        <v>46</v>
      </c>
      <c r="HOS47" s="8" t="s">
        <v>433</v>
      </c>
      <c r="HOT47" s="32" t="s">
        <v>92</v>
      </c>
      <c r="HOU47" s="8" t="s">
        <v>132</v>
      </c>
      <c r="HOV47" s="22" t="s">
        <v>46</v>
      </c>
      <c r="HOW47" s="8" t="s">
        <v>433</v>
      </c>
      <c r="HOX47" s="32" t="s">
        <v>92</v>
      </c>
      <c r="HOY47" s="8" t="s">
        <v>132</v>
      </c>
      <c r="HOZ47" s="22" t="s">
        <v>46</v>
      </c>
      <c r="HPA47" s="8" t="s">
        <v>433</v>
      </c>
      <c r="HPB47" s="32" t="s">
        <v>92</v>
      </c>
      <c r="HPC47" s="8" t="s">
        <v>132</v>
      </c>
      <c r="HPD47" s="22" t="s">
        <v>46</v>
      </c>
      <c r="HPE47" s="8" t="s">
        <v>433</v>
      </c>
      <c r="HPF47" s="32" t="s">
        <v>92</v>
      </c>
      <c r="HPG47" s="8" t="s">
        <v>132</v>
      </c>
      <c r="HPH47" s="22" t="s">
        <v>46</v>
      </c>
      <c r="HPI47" s="8" t="s">
        <v>433</v>
      </c>
      <c r="HPJ47" s="32" t="s">
        <v>92</v>
      </c>
      <c r="HPK47" s="8" t="s">
        <v>132</v>
      </c>
      <c r="HPL47" s="22" t="s">
        <v>46</v>
      </c>
      <c r="HPM47" s="8" t="s">
        <v>433</v>
      </c>
      <c r="HPN47" s="32" t="s">
        <v>92</v>
      </c>
      <c r="HPO47" s="8" t="s">
        <v>132</v>
      </c>
      <c r="HPP47" s="22" t="s">
        <v>46</v>
      </c>
      <c r="HPQ47" s="8" t="s">
        <v>433</v>
      </c>
      <c r="HPR47" s="32" t="s">
        <v>92</v>
      </c>
      <c r="HPS47" s="8" t="s">
        <v>132</v>
      </c>
      <c r="HPT47" s="22" t="s">
        <v>46</v>
      </c>
      <c r="HPU47" s="8" t="s">
        <v>433</v>
      </c>
      <c r="HPV47" s="32" t="s">
        <v>92</v>
      </c>
      <c r="HPW47" s="8" t="s">
        <v>132</v>
      </c>
      <c r="HPX47" s="22" t="s">
        <v>46</v>
      </c>
      <c r="HPY47" s="8" t="s">
        <v>433</v>
      </c>
      <c r="HPZ47" s="32" t="s">
        <v>92</v>
      </c>
      <c r="HQA47" s="8" t="s">
        <v>132</v>
      </c>
      <c r="HQB47" s="22" t="s">
        <v>46</v>
      </c>
      <c r="HQC47" s="8" t="s">
        <v>433</v>
      </c>
      <c r="HQD47" s="32" t="s">
        <v>92</v>
      </c>
      <c r="HQE47" s="8" t="s">
        <v>132</v>
      </c>
      <c r="HQF47" s="22" t="s">
        <v>46</v>
      </c>
      <c r="HQG47" s="8" t="s">
        <v>433</v>
      </c>
      <c r="HQH47" s="32" t="s">
        <v>92</v>
      </c>
      <c r="HQI47" s="8" t="s">
        <v>132</v>
      </c>
      <c r="HQJ47" s="22" t="s">
        <v>46</v>
      </c>
      <c r="HQK47" s="8" t="s">
        <v>433</v>
      </c>
      <c r="HQL47" s="32" t="s">
        <v>92</v>
      </c>
      <c r="HQM47" s="8" t="s">
        <v>132</v>
      </c>
      <c r="HQN47" s="22" t="s">
        <v>46</v>
      </c>
      <c r="HQO47" s="8" t="s">
        <v>433</v>
      </c>
      <c r="HQP47" s="32" t="s">
        <v>92</v>
      </c>
      <c r="HQQ47" s="8" t="s">
        <v>132</v>
      </c>
      <c r="HQR47" s="22" t="s">
        <v>46</v>
      </c>
      <c r="HQS47" s="8" t="s">
        <v>433</v>
      </c>
      <c r="HQT47" s="32" t="s">
        <v>92</v>
      </c>
      <c r="HQU47" s="8" t="s">
        <v>132</v>
      </c>
      <c r="HQV47" s="22" t="s">
        <v>46</v>
      </c>
      <c r="HQW47" s="8" t="s">
        <v>433</v>
      </c>
      <c r="HQX47" s="32" t="s">
        <v>92</v>
      </c>
      <c r="HQY47" s="8" t="s">
        <v>132</v>
      </c>
      <c r="HQZ47" s="22" t="s">
        <v>46</v>
      </c>
      <c r="HRA47" s="8" t="s">
        <v>433</v>
      </c>
      <c r="HRB47" s="32" t="s">
        <v>92</v>
      </c>
      <c r="HRC47" s="8" t="s">
        <v>132</v>
      </c>
      <c r="HRD47" s="22" t="s">
        <v>46</v>
      </c>
      <c r="HRE47" s="8" t="s">
        <v>433</v>
      </c>
      <c r="HRF47" s="32" t="s">
        <v>92</v>
      </c>
      <c r="HRG47" s="8" t="s">
        <v>132</v>
      </c>
      <c r="HRH47" s="22" t="s">
        <v>46</v>
      </c>
      <c r="HRI47" s="8" t="s">
        <v>433</v>
      </c>
      <c r="HRJ47" s="32" t="s">
        <v>92</v>
      </c>
      <c r="HRK47" s="8" t="s">
        <v>132</v>
      </c>
      <c r="HRL47" s="22" t="s">
        <v>46</v>
      </c>
      <c r="HRM47" s="8" t="s">
        <v>433</v>
      </c>
      <c r="HRN47" s="32" t="s">
        <v>92</v>
      </c>
      <c r="HRO47" s="8" t="s">
        <v>132</v>
      </c>
      <c r="HRP47" s="22" t="s">
        <v>46</v>
      </c>
      <c r="HRQ47" s="8" t="s">
        <v>433</v>
      </c>
      <c r="HRR47" s="32" t="s">
        <v>92</v>
      </c>
      <c r="HRS47" s="8" t="s">
        <v>132</v>
      </c>
      <c r="HRT47" s="22" t="s">
        <v>46</v>
      </c>
      <c r="HRU47" s="8" t="s">
        <v>433</v>
      </c>
      <c r="HRV47" s="32" t="s">
        <v>92</v>
      </c>
      <c r="HRW47" s="8" t="s">
        <v>132</v>
      </c>
      <c r="HRX47" s="22" t="s">
        <v>46</v>
      </c>
      <c r="HRY47" s="8" t="s">
        <v>433</v>
      </c>
      <c r="HRZ47" s="32" t="s">
        <v>92</v>
      </c>
      <c r="HSA47" s="8" t="s">
        <v>132</v>
      </c>
      <c r="HSB47" s="22" t="s">
        <v>46</v>
      </c>
      <c r="HSC47" s="8" t="s">
        <v>433</v>
      </c>
      <c r="HSD47" s="32" t="s">
        <v>92</v>
      </c>
      <c r="HSE47" s="8" t="s">
        <v>132</v>
      </c>
      <c r="HSF47" s="22" t="s">
        <v>46</v>
      </c>
      <c r="HSG47" s="8" t="s">
        <v>433</v>
      </c>
      <c r="HSH47" s="32" t="s">
        <v>92</v>
      </c>
      <c r="HSI47" s="8" t="s">
        <v>132</v>
      </c>
      <c r="HSJ47" s="22" t="s">
        <v>46</v>
      </c>
      <c r="HSK47" s="8" t="s">
        <v>433</v>
      </c>
      <c r="HSL47" s="32" t="s">
        <v>92</v>
      </c>
      <c r="HSM47" s="8" t="s">
        <v>132</v>
      </c>
      <c r="HSN47" s="22" t="s">
        <v>46</v>
      </c>
      <c r="HSO47" s="8" t="s">
        <v>433</v>
      </c>
      <c r="HSP47" s="32" t="s">
        <v>92</v>
      </c>
      <c r="HSQ47" s="8" t="s">
        <v>132</v>
      </c>
      <c r="HSR47" s="22" t="s">
        <v>46</v>
      </c>
      <c r="HSS47" s="8" t="s">
        <v>433</v>
      </c>
      <c r="HST47" s="32" t="s">
        <v>92</v>
      </c>
      <c r="HSU47" s="8" t="s">
        <v>132</v>
      </c>
      <c r="HSV47" s="22" t="s">
        <v>46</v>
      </c>
      <c r="HSW47" s="8" t="s">
        <v>433</v>
      </c>
      <c r="HSX47" s="32" t="s">
        <v>92</v>
      </c>
      <c r="HSY47" s="8" t="s">
        <v>132</v>
      </c>
      <c r="HSZ47" s="22" t="s">
        <v>46</v>
      </c>
      <c r="HTA47" s="8" t="s">
        <v>433</v>
      </c>
      <c r="HTB47" s="32" t="s">
        <v>92</v>
      </c>
      <c r="HTC47" s="8" t="s">
        <v>132</v>
      </c>
      <c r="HTD47" s="22" t="s">
        <v>46</v>
      </c>
      <c r="HTE47" s="8" t="s">
        <v>433</v>
      </c>
      <c r="HTF47" s="32" t="s">
        <v>92</v>
      </c>
      <c r="HTG47" s="8" t="s">
        <v>132</v>
      </c>
      <c r="HTH47" s="22" t="s">
        <v>46</v>
      </c>
      <c r="HTI47" s="8" t="s">
        <v>433</v>
      </c>
      <c r="HTJ47" s="32" t="s">
        <v>92</v>
      </c>
      <c r="HTK47" s="8" t="s">
        <v>132</v>
      </c>
      <c r="HTL47" s="22" t="s">
        <v>46</v>
      </c>
      <c r="HTM47" s="8" t="s">
        <v>433</v>
      </c>
      <c r="HTN47" s="32" t="s">
        <v>92</v>
      </c>
      <c r="HTO47" s="8" t="s">
        <v>132</v>
      </c>
      <c r="HTP47" s="22" t="s">
        <v>46</v>
      </c>
      <c r="HTQ47" s="8" t="s">
        <v>433</v>
      </c>
      <c r="HTR47" s="32" t="s">
        <v>92</v>
      </c>
      <c r="HTS47" s="8" t="s">
        <v>132</v>
      </c>
      <c r="HTT47" s="22" t="s">
        <v>46</v>
      </c>
      <c r="HTU47" s="8" t="s">
        <v>433</v>
      </c>
      <c r="HTV47" s="32" t="s">
        <v>92</v>
      </c>
      <c r="HTW47" s="8" t="s">
        <v>132</v>
      </c>
      <c r="HTX47" s="22" t="s">
        <v>46</v>
      </c>
      <c r="HTY47" s="8" t="s">
        <v>433</v>
      </c>
      <c r="HTZ47" s="32" t="s">
        <v>92</v>
      </c>
      <c r="HUA47" s="8" t="s">
        <v>132</v>
      </c>
      <c r="HUB47" s="22" t="s">
        <v>46</v>
      </c>
      <c r="HUC47" s="8" t="s">
        <v>433</v>
      </c>
      <c r="HUD47" s="32" t="s">
        <v>92</v>
      </c>
      <c r="HUE47" s="8" t="s">
        <v>132</v>
      </c>
      <c r="HUF47" s="22" t="s">
        <v>46</v>
      </c>
      <c r="HUG47" s="8" t="s">
        <v>433</v>
      </c>
      <c r="HUH47" s="32" t="s">
        <v>92</v>
      </c>
      <c r="HUI47" s="8" t="s">
        <v>132</v>
      </c>
      <c r="HUJ47" s="22" t="s">
        <v>46</v>
      </c>
      <c r="HUK47" s="8" t="s">
        <v>433</v>
      </c>
      <c r="HUL47" s="32" t="s">
        <v>92</v>
      </c>
      <c r="HUM47" s="8" t="s">
        <v>132</v>
      </c>
      <c r="HUN47" s="22" t="s">
        <v>46</v>
      </c>
      <c r="HUO47" s="8" t="s">
        <v>433</v>
      </c>
      <c r="HUP47" s="32" t="s">
        <v>92</v>
      </c>
      <c r="HUQ47" s="8" t="s">
        <v>132</v>
      </c>
      <c r="HUR47" s="22" t="s">
        <v>46</v>
      </c>
      <c r="HUS47" s="8" t="s">
        <v>433</v>
      </c>
      <c r="HUT47" s="32" t="s">
        <v>92</v>
      </c>
      <c r="HUU47" s="8" t="s">
        <v>132</v>
      </c>
      <c r="HUV47" s="22" t="s">
        <v>46</v>
      </c>
      <c r="HUW47" s="8" t="s">
        <v>433</v>
      </c>
      <c r="HUX47" s="32" t="s">
        <v>92</v>
      </c>
      <c r="HUY47" s="8" t="s">
        <v>132</v>
      </c>
      <c r="HUZ47" s="22" t="s">
        <v>46</v>
      </c>
      <c r="HVA47" s="8" t="s">
        <v>433</v>
      </c>
      <c r="HVB47" s="32" t="s">
        <v>92</v>
      </c>
      <c r="HVC47" s="8" t="s">
        <v>132</v>
      </c>
      <c r="HVD47" s="22" t="s">
        <v>46</v>
      </c>
      <c r="HVE47" s="8" t="s">
        <v>433</v>
      </c>
      <c r="HVF47" s="32" t="s">
        <v>92</v>
      </c>
      <c r="HVG47" s="8" t="s">
        <v>132</v>
      </c>
      <c r="HVH47" s="22" t="s">
        <v>46</v>
      </c>
      <c r="HVI47" s="8" t="s">
        <v>433</v>
      </c>
      <c r="HVJ47" s="32" t="s">
        <v>92</v>
      </c>
      <c r="HVK47" s="8" t="s">
        <v>132</v>
      </c>
      <c r="HVL47" s="22" t="s">
        <v>46</v>
      </c>
      <c r="HVM47" s="8" t="s">
        <v>433</v>
      </c>
      <c r="HVN47" s="32" t="s">
        <v>92</v>
      </c>
      <c r="HVO47" s="8" t="s">
        <v>132</v>
      </c>
      <c r="HVP47" s="22" t="s">
        <v>46</v>
      </c>
      <c r="HVQ47" s="8" t="s">
        <v>433</v>
      </c>
      <c r="HVR47" s="32" t="s">
        <v>92</v>
      </c>
      <c r="HVS47" s="8" t="s">
        <v>132</v>
      </c>
      <c r="HVT47" s="22" t="s">
        <v>46</v>
      </c>
      <c r="HVU47" s="8" t="s">
        <v>433</v>
      </c>
      <c r="HVV47" s="32" t="s">
        <v>92</v>
      </c>
      <c r="HVW47" s="8" t="s">
        <v>132</v>
      </c>
      <c r="HVX47" s="22" t="s">
        <v>46</v>
      </c>
      <c r="HVY47" s="8" t="s">
        <v>433</v>
      </c>
      <c r="HVZ47" s="32" t="s">
        <v>92</v>
      </c>
      <c r="HWA47" s="8" t="s">
        <v>132</v>
      </c>
      <c r="HWB47" s="22" t="s">
        <v>46</v>
      </c>
      <c r="HWC47" s="8" t="s">
        <v>433</v>
      </c>
      <c r="HWD47" s="32" t="s">
        <v>92</v>
      </c>
      <c r="HWE47" s="8" t="s">
        <v>132</v>
      </c>
      <c r="HWF47" s="22" t="s">
        <v>46</v>
      </c>
      <c r="HWG47" s="8" t="s">
        <v>433</v>
      </c>
      <c r="HWH47" s="32" t="s">
        <v>92</v>
      </c>
      <c r="HWI47" s="8" t="s">
        <v>132</v>
      </c>
      <c r="HWJ47" s="22" t="s">
        <v>46</v>
      </c>
      <c r="HWK47" s="8" t="s">
        <v>433</v>
      </c>
      <c r="HWL47" s="32" t="s">
        <v>92</v>
      </c>
      <c r="HWM47" s="8" t="s">
        <v>132</v>
      </c>
      <c r="HWN47" s="22" t="s">
        <v>46</v>
      </c>
      <c r="HWO47" s="8" t="s">
        <v>433</v>
      </c>
      <c r="HWP47" s="32" t="s">
        <v>92</v>
      </c>
      <c r="HWQ47" s="8" t="s">
        <v>132</v>
      </c>
      <c r="HWR47" s="22" t="s">
        <v>46</v>
      </c>
      <c r="HWS47" s="8" t="s">
        <v>433</v>
      </c>
      <c r="HWT47" s="32" t="s">
        <v>92</v>
      </c>
      <c r="HWU47" s="8" t="s">
        <v>132</v>
      </c>
      <c r="HWV47" s="22" t="s">
        <v>46</v>
      </c>
      <c r="HWW47" s="8" t="s">
        <v>433</v>
      </c>
      <c r="HWX47" s="32" t="s">
        <v>92</v>
      </c>
      <c r="HWY47" s="8" t="s">
        <v>132</v>
      </c>
      <c r="HWZ47" s="22" t="s">
        <v>46</v>
      </c>
      <c r="HXA47" s="8" t="s">
        <v>433</v>
      </c>
      <c r="HXB47" s="32" t="s">
        <v>92</v>
      </c>
      <c r="HXC47" s="8" t="s">
        <v>132</v>
      </c>
      <c r="HXD47" s="22" t="s">
        <v>46</v>
      </c>
      <c r="HXE47" s="8" t="s">
        <v>433</v>
      </c>
      <c r="HXF47" s="32" t="s">
        <v>92</v>
      </c>
      <c r="HXG47" s="8" t="s">
        <v>132</v>
      </c>
      <c r="HXH47" s="22" t="s">
        <v>46</v>
      </c>
      <c r="HXI47" s="8" t="s">
        <v>433</v>
      </c>
      <c r="HXJ47" s="32" t="s">
        <v>92</v>
      </c>
      <c r="HXK47" s="8" t="s">
        <v>132</v>
      </c>
      <c r="HXL47" s="22" t="s">
        <v>46</v>
      </c>
      <c r="HXM47" s="8" t="s">
        <v>433</v>
      </c>
      <c r="HXN47" s="32" t="s">
        <v>92</v>
      </c>
      <c r="HXO47" s="8" t="s">
        <v>132</v>
      </c>
      <c r="HXP47" s="22" t="s">
        <v>46</v>
      </c>
      <c r="HXQ47" s="8" t="s">
        <v>433</v>
      </c>
      <c r="HXR47" s="32" t="s">
        <v>92</v>
      </c>
      <c r="HXS47" s="8" t="s">
        <v>132</v>
      </c>
      <c r="HXT47" s="22" t="s">
        <v>46</v>
      </c>
      <c r="HXU47" s="8" t="s">
        <v>433</v>
      </c>
      <c r="HXV47" s="32" t="s">
        <v>92</v>
      </c>
      <c r="HXW47" s="8" t="s">
        <v>132</v>
      </c>
      <c r="HXX47" s="22" t="s">
        <v>46</v>
      </c>
      <c r="HXY47" s="8" t="s">
        <v>433</v>
      </c>
      <c r="HXZ47" s="32" t="s">
        <v>92</v>
      </c>
      <c r="HYA47" s="8" t="s">
        <v>132</v>
      </c>
      <c r="HYB47" s="22" t="s">
        <v>46</v>
      </c>
      <c r="HYC47" s="8" t="s">
        <v>433</v>
      </c>
      <c r="HYD47" s="32" t="s">
        <v>92</v>
      </c>
      <c r="HYE47" s="8" t="s">
        <v>132</v>
      </c>
      <c r="HYF47" s="22" t="s">
        <v>46</v>
      </c>
      <c r="HYG47" s="8" t="s">
        <v>433</v>
      </c>
      <c r="HYH47" s="32" t="s">
        <v>92</v>
      </c>
      <c r="HYI47" s="8" t="s">
        <v>132</v>
      </c>
      <c r="HYJ47" s="22" t="s">
        <v>46</v>
      </c>
      <c r="HYK47" s="8" t="s">
        <v>433</v>
      </c>
      <c r="HYL47" s="32" t="s">
        <v>92</v>
      </c>
      <c r="HYM47" s="8" t="s">
        <v>132</v>
      </c>
      <c r="HYN47" s="22" t="s">
        <v>46</v>
      </c>
      <c r="HYO47" s="8" t="s">
        <v>433</v>
      </c>
      <c r="HYP47" s="32" t="s">
        <v>92</v>
      </c>
      <c r="HYQ47" s="8" t="s">
        <v>132</v>
      </c>
      <c r="HYR47" s="22" t="s">
        <v>46</v>
      </c>
      <c r="HYS47" s="8" t="s">
        <v>433</v>
      </c>
      <c r="HYT47" s="32" t="s">
        <v>92</v>
      </c>
      <c r="HYU47" s="8" t="s">
        <v>132</v>
      </c>
      <c r="HYV47" s="22" t="s">
        <v>46</v>
      </c>
      <c r="HYW47" s="8" t="s">
        <v>433</v>
      </c>
      <c r="HYX47" s="32" t="s">
        <v>92</v>
      </c>
      <c r="HYY47" s="8" t="s">
        <v>132</v>
      </c>
      <c r="HYZ47" s="22" t="s">
        <v>46</v>
      </c>
      <c r="HZA47" s="8" t="s">
        <v>433</v>
      </c>
      <c r="HZB47" s="32" t="s">
        <v>92</v>
      </c>
      <c r="HZC47" s="8" t="s">
        <v>132</v>
      </c>
      <c r="HZD47" s="22" t="s">
        <v>46</v>
      </c>
      <c r="HZE47" s="8" t="s">
        <v>433</v>
      </c>
      <c r="HZF47" s="32" t="s">
        <v>92</v>
      </c>
      <c r="HZG47" s="8" t="s">
        <v>132</v>
      </c>
      <c r="HZH47" s="22" t="s">
        <v>46</v>
      </c>
      <c r="HZI47" s="8" t="s">
        <v>433</v>
      </c>
      <c r="HZJ47" s="32" t="s">
        <v>92</v>
      </c>
      <c r="HZK47" s="8" t="s">
        <v>132</v>
      </c>
      <c r="HZL47" s="22" t="s">
        <v>46</v>
      </c>
      <c r="HZM47" s="8" t="s">
        <v>433</v>
      </c>
      <c r="HZN47" s="32" t="s">
        <v>92</v>
      </c>
      <c r="HZO47" s="8" t="s">
        <v>132</v>
      </c>
      <c r="HZP47" s="22" t="s">
        <v>46</v>
      </c>
      <c r="HZQ47" s="8" t="s">
        <v>433</v>
      </c>
      <c r="HZR47" s="32" t="s">
        <v>92</v>
      </c>
      <c r="HZS47" s="8" t="s">
        <v>132</v>
      </c>
      <c r="HZT47" s="22" t="s">
        <v>46</v>
      </c>
      <c r="HZU47" s="8" t="s">
        <v>433</v>
      </c>
      <c r="HZV47" s="32" t="s">
        <v>92</v>
      </c>
      <c r="HZW47" s="8" t="s">
        <v>132</v>
      </c>
      <c r="HZX47" s="22" t="s">
        <v>46</v>
      </c>
      <c r="HZY47" s="8" t="s">
        <v>433</v>
      </c>
      <c r="HZZ47" s="32" t="s">
        <v>92</v>
      </c>
      <c r="IAA47" s="8" t="s">
        <v>132</v>
      </c>
      <c r="IAB47" s="22" t="s">
        <v>46</v>
      </c>
      <c r="IAC47" s="8" t="s">
        <v>433</v>
      </c>
      <c r="IAD47" s="32" t="s">
        <v>92</v>
      </c>
      <c r="IAE47" s="8" t="s">
        <v>132</v>
      </c>
      <c r="IAF47" s="22" t="s">
        <v>46</v>
      </c>
      <c r="IAG47" s="8" t="s">
        <v>433</v>
      </c>
      <c r="IAH47" s="32" t="s">
        <v>92</v>
      </c>
      <c r="IAI47" s="8" t="s">
        <v>132</v>
      </c>
      <c r="IAJ47" s="22" t="s">
        <v>46</v>
      </c>
      <c r="IAK47" s="8" t="s">
        <v>433</v>
      </c>
      <c r="IAL47" s="32" t="s">
        <v>92</v>
      </c>
      <c r="IAM47" s="8" t="s">
        <v>132</v>
      </c>
      <c r="IAN47" s="22" t="s">
        <v>46</v>
      </c>
      <c r="IAO47" s="8" t="s">
        <v>433</v>
      </c>
      <c r="IAP47" s="32" t="s">
        <v>92</v>
      </c>
      <c r="IAQ47" s="8" t="s">
        <v>132</v>
      </c>
      <c r="IAR47" s="22" t="s">
        <v>46</v>
      </c>
      <c r="IAS47" s="8" t="s">
        <v>433</v>
      </c>
      <c r="IAT47" s="32" t="s">
        <v>92</v>
      </c>
      <c r="IAU47" s="8" t="s">
        <v>132</v>
      </c>
      <c r="IAV47" s="22" t="s">
        <v>46</v>
      </c>
      <c r="IAW47" s="8" t="s">
        <v>433</v>
      </c>
      <c r="IAX47" s="32" t="s">
        <v>92</v>
      </c>
      <c r="IAY47" s="8" t="s">
        <v>132</v>
      </c>
      <c r="IAZ47" s="22" t="s">
        <v>46</v>
      </c>
      <c r="IBA47" s="8" t="s">
        <v>433</v>
      </c>
      <c r="IBB47" s="32" t="s">
        <v>92</v>
      </c>
      <c r="IBC47" s="8" t="s">
        <v>132</v>
      </c>
      <c r="IBD47" s="22" t="s">
        <v>46</v>
      </c>
      <c r="IBE47" s="8" t="s">
        <v>433</v>
      </c>
      <c r="IBF47" s="32" t="s">
        <v>92</v>
      </c>
      <c r="IBG47" s="8" t="s">
        <v>132</v>
      </c>
      <c r="IBH47" s="22" t="s">
        <v>46</v>
      </c>
      <c r="IBI47" s="8" t="s">
        <v>433</v>
      </c>
      <c r="IBJ47" s="32" t="s">
        <v>92</v>
      </c>
      <c r="IBK47" s="8" t="s">
        <v>132</v>
      </c>
      <c r="IBL47" s="22" t="s">
        <v>46</v>
      </c>
      <c r="IBM47" s="8" t="s">
        <v>433</v>
      </c>
      <c r="IBN47" s="32" t="s">
        <v>92</v>
      </c>
      <c r="IBO47" s="8" t="s">
        <v>132</v>
      </c>
      <c r="IBP47" s="22" t="s">
        <v>46</v>
      </c>
      <c r="IBQ47" s="8" t="s">
        <v>433</v>
      </c>
      <c r="IBR47" s="32" t="s">
        <v>92</v>
      </c>
      <c r="IBS47" s="8" t="s">
        <v>132</v>
      </c>
      <c r="IBT47" s="22" t="s">
        <v>46</v>
      </c>
      <c r="IBU47" s="8" t="s">
        <v>433</v>
      </c>
      <c r="IBV47" s="32" t="s">
        <v>92</v>
      </c>
      <c r="IBW47" s="8" t="s">
        <v>132</v>
      </c>
      <c r="IBX47" s="22" t="s">
        <v>46</v>
      </c>
      <c r="IBY47" s="8" t="s">
        <v>433</v>
      </c>
      <c r="IBZ47" s="32" t="s">
        <v>92</v>
      </c>
      <c r="ICA47" s="8" t="s">
        <v>132</v>
      </c>
      <c r="ICB47" s="22" t="s">
        <v>46</v>
      </c>
      <c r="ICC47" s="8" t="s">
        <v>433</v>
      </c>
      <c r="ICD47" s="32" t="s">
        <v>92</v>
      </c>
      <c r="ICE47" s="8" t="s">
        <v>132</v>
      </c>
      <c r="ICF47" s="22" t="s">
        <v>46</v>
      </c>
      <c r="ICG47" s="8" t="s">
        <v>433</v>
      </c>
      <c r="ICH47" s="32" t="s">
        <v>92</v>
      </c>
      <c r="ICI47" s="8" t="s">
        <v>132</v>
      </c>
      <c r="ICJ47" s="22" t="s">
        <v>46</v>
      </c>
      <c r="ICK47" s="8" t="s">
        <v>433</v>
      </c>
      <c r="ICL47" s="32" t="s">
        <v>92</v>
      </c>
      <c r="ICM47" s="8" t="s">
        <v>132</v>
      </c>
      <c r="ICN47" s="22" t="s">
        <v>46</v>
      </c>
      <c r="ICO47" s="8" t="s">
        <v>433</v>
      </c>
      <c r="ICP47" s="32" t="s">
        <v>92</v>
      </c>
      <c r="ICQ47" s="8" t="s">
        <v>132</v>
      </c>
      <c r="ICR47" s="22" t="s">
        <v>46</v>
      </c>
      <c r="ICS47" s="8" t="s">
        <v>433</v>
      </c>
      <c r="ICT47" s="32" t="s">
        <v>92</v>
      </c>
      <c r="ICU47" s="8" t="s">
        <v>132</v>
      </c>
      <c r="ICV47" s="22" t="s">
        <v>46</v>
      </c>
      <c r="ICW47" s="8" t="s">
        <v>433</v>
      </c>
      <c r="ICX47" s="32" t="s">
        <v>92</v>
      </c>
      <c r="ICY47" s="8" t="s">
        <v>132</v>
      </c>
      <c r="ICZ47" s="22" t="s">
        <v>46</v>
      </c>
      <c r="IDA47" s="8" t="s">
        <v>433</v>
      </c>
      <c r="IDB47" s="32" t="s">
        <v>92</v>
      </c>
      <c r="IDC47" s="8" t="s">
        <v>132</v>
      </c>
      <c r="IDD47" s="22" t="s">
        <v>46</v>
      </c>
      <c r="IDE47" s="8" t="s">
        <v>433</v>
      </c>
      <c r="IDF47" s="32" t="s">
        <v>92</v>
      </c>
      <c r="IDG47" s="8" t="s">
        <v>132</v>
      </c>
      <c r="IDH47" s="22" t="s">
        <v>46</v>
      </c>
      <c r="IDI47" s="8" t="s">
        <v>433</v>
      </c>
      <c r="IDJ47" s="32" t="s">
        <v>92</v>
      </c>
      <c r="IDK47" s="8" t="s">
        <v>132</v>
      </c>
      <c r="IDL47" s="22" t="s">
        <v>46</v>
      </c>
      <c r="IDM47" s="8" t="s">
        <v>433</v>
      </c>
      <c r="IDN47" s="32" t="s">
        <v>92</v>
      </c>
      <c r="IDO47" s="8" t="s">
        <v>132</v>
      </c>
      <c r="IDP47" s="22" t="s">
        <v>46</v>
      </c>
      <c r="IDQ47" s="8" t="s">
        <v>433</v>
      </c>
      <c r="IDR47" s="32" t="s">
        <v>92</v>
      </c>
      <c r="IDS47" s="8" t="s">
        <v>132</v>
      </c>
      <c r="IDT47" s="22" t="s">
        <v>46</v>
      </c>
      <c r="IDU47" s="8" t="s">
        <v>433</v>
      </c>
      <c r="IDV47" s="32" t="s">
        <v>92</v>
      </c>
      <c r="IDW47" s="8" t="s">
        <v>132</v>
      </c>
      <c r="IDX47" s="22" t="s">
        <v>46</v>
      </c>
      <c r="IDY47" s="8" t="s">
        <v>433</v>
      </c>
      <c r="IDZ47" s="32" t="s">
        <v>92</v>
      </c>
      <c r="IEA47" s="8" t="s">
        <v>132</v>
      </c>
      <c r="IEB47" s="22" t="s">
        <v>46</v>
      </c>
      <c r="IEC47" s="8" t="s">
        <v>433</v>
      </c>
      <c r="IED47" s="32" t="s">
        <v>92</v>
      </c>
      <c r="IEE47" s="8" t="s">
        <v>132</v>
      </c>
      <c r="IEF47" s="22" t="s">
        <v>46</v>
      </c>
      <c r="IEG47" s="8" t="s">
        <v>433</v>
      </c>
      <c r="IEH47" s="32" t="s">
        <v>92</v>
      </c>
      <c r="IEI47" s="8" t="s">
        <v>132</v>
      </c>
      <c r="IEJ47" s="22" t="s">
        <v>46</v>
      </c>
      <c r="IEK47" s="8" t="s">
        <v>433</v>
      </c>
      <c r="IEL47" s="32" t="s">
        <v>92</v>
      </c>
      <c r="IEM47" s="8" t="s">
        <v>132</v>
      </c>
      <c r="IEN47" s="22" t="s">
        <v>46</v>
      </c>
      <c r="IEO47" s="8" t="s">
        <v>433</v>
      </c>
      <c r="IEP47" s="32" t="s">
        <v>92</v>
      </c>
      <c r="IEQ47" s="8" t="s">
        <v>132</v>
      </c>
      <c r="IER47" s="22" t="s">
        <v>46</v>
      </c>
      <c r="IES47" s="8" t="s">
        <v>433</v>
      </c>
      <c r="IET47" s="32" t="s">
        <v>92</v>
      </c>
      <c r="IEU47" s="8" t="s">
        <v>132</v>
      </c>
      <c r="IEV47" s="22" t="s">
        <v>46</v>
      </c>
      <c r="IEW47" s="8" t="s">
        <v>433</v>
      </c>
      <c r="IEX47" s="32" t="s">
        <v>92</v>
      </c>
      <c r="IEY47" s="8" t="s">
        <v>132</v>
      </c>
      <c r="IEZ47" s="22" t="s">
        <v>46</v>
      </c>
      <c r="IFA47" s="8" t="s">
        <v>433</v>
      </c>
      <c r="IFB47" s="32" t="s">
        <v>92</v>
      </c>
      <c r="IFC47" s="8" t="s">
        <v>132</v>
      </c>
      <c r="IFD47" s="22" t="s">
        <v>46</v>
      </c>
      <c r="IFE47" s="8" t="s">
        <v>433</v>
      </c>
      <c r="IFF47" s="32" t="s">
        <v>92</v>
      </c>
      <c r="IFG47" s="8" t="s">
        <v>132</v>
      </c>
      <c r="IFH47" s="22" t="s">
        <v>46</v>
      </c>
      <c r="IFI47" s="8" t="s">
        <v>433</v>
      </c>
      <c r="IFJ47" s="32" t="s">
        <v>92</v>
      </c>
      <c r="IFK47" s="8" t="s">
        <v>132</v>
      </c>
      <c r="IFL47" s="22" t="s">
        <v>46</v>
      </c>
      <c r="IFM47" s="8" t="s">
        <v>433</v>
      </c>
      <c r="IFN47" s="32" t="s">
        <v>92</v>
      </c>
      <c r="IFO47" s="8" t="s">
        <v>132</v>
      </c>
      <c r="IFP47" s="22" t="s">
        <v>46</v>
      </c>
      <c r="IFQ47" s="8" t="s">
        <v>433</v>
      </c>
      <c r="IFR47" s="32" t="s">
        <v>92</v>
      </c>
      <c r="IFS47" s="8" t="s">
        <v>132</v>
      </c>
      <c r="IFT47" s="22" t="s">
        <v>46</v>
      </c>
      <c r="IFU47" s="8" t="s">
        <v>433</v>
      </c>
      <c r="IFV47" s="32" t="s">
        <v>92</v>
      </c>
      <c r="IFW47" s="8" t="s">
        <v>132</v>
      </c>
      <c r="IFX47" s="22" t="s">
        <v>46</v>
      </c>
      <c r="IFY47" s="8" t="s">
        <v>433</v>
      </c>
      <c r="IFZ47" s="32" t="s">
        <v>92</v>
      </c>
      <c r="IGA47" s="8" t="s">
        <v>132</v>
      </c>
      <c r="IGB47" s="22" t="s">
        <v>46</v>
      </c>
      <c r="IGC47" s="8" t="s">
        <v>433</v>
      </c>
      <c r="IGD47" s="32" t="s">
        <v>92</v>
      </c>
      <c r="IGE47" s="8" t="s">
        <v>132</v>
      </c>
      <c r="IGF47" s="22" t="s">
        <v>46</v>
      </c>
      <c r="IGG47" s="8" t="s">
        <v>433</v>
      </c>
      <c r="IGH47" s="32" t="s">
        <v>92</v>
      </c>
      <c r="IGI47" s="8" t="s">
        <v>132</v>
      </c>
      <c r="IGJ47" s="22" t="s">
        <v>46</v>
      </c>
      <c r="IGK47" s="8" t="s">
        <v>433</v>
      </c>
      <c r="IGL47" s="32" t="s">
        <v>92</v>
      </c>
      <c r="IGM47" s="8" t="s">
        <v>132</v>
      </c>
      <c r="IGN47" s="22" t="s">
        <v>46</v>
      </c>
      <c r="IGO47" s="8" t="s">
        <v>433</v>
      </c>
      <c r="IGP47" s="32" t="s">
        <v>92</v>
      </c>
      <c r="IGQ47" s="8" t="s">
        <v>132</v>
      </c>
      <c r="IGR47" s="22" t="s">
        <v>46</v>
      </c>
      <c r="IGS47" s="8" t="s">
        <v>433</v>
      </c>
      <c r="IGT47" s="32" t="s">
        <v>92</v>
      </c>
      <c r="IGU47" s="8" t="s">
        <v>132</v>
      </c>
      <c r="IGV47" s="22" t="s">
        <v>46</v>
      </c>
      <c r="IGW47" s="8" t="s">
        <v>433</v>
      </c>
      <c r="IGX47" s="32" t="s">
        <v>92</v>
      </c>
      <c r="IGY47" s="8" t="s">
        <v>132</v>
      </c>
      <c r="IGZ47" s="22" t="s">
        <v>46</v>
      </c>
      <c r="IHA47" s="8" t="s">
        <v>433</v>
      </c>
      <c r="IHB47" s="32" t="s">
        <v>92</v>
      </c>
      <c r="IHC47" s="8" t="s">
        <v>132</v>
      </c>
      <c r="IHD47" s="22" t="s">
        <v>46</v>
      </c>
      <c r="IHE47" s="8" t="s">
        <v>433</v>
      </c>
      <c r="IHF47" s="32" t="s">
        <v>92</v>
      </c>
      <c r="IHG47" s="8" t="s">
        <v>132</v>
      </c>
      <c r="IHH47" s="22" t="s">
        <v>46</v>
      </c>
      <c r="IHI47" s="8" t="s">
        <v>433</v>
      </c>
      <c r="IHJ47" s="32" t="s">
        <v>92</v>
      </c>
      <c r="IHK47" s="8" t="s">
        <v>132</v>
      </c>
      <c r="IHL47" s="22" t="s">
        <v>46</v>
      </c>
      <c r="IHM47" s="8" t="s">
        <v>433</v>
      </c>
      <c r="IHN47" s="32" t="s">
        <v>92</v>
      </c>
      <c r="IHO47" s="8" t="s">
        <v>132</v>
      </c>
      <c r="IHP47" s="22" t="s">
        <v>46</v>
      </c>
      <c r="IHQ47" s="8" t="s">
        <v>433</v>
      </c>
      <c r="IHR47" s="32" t="s">
        <v>92</v>
      </c>
      <c r="IHS47" s="8" t="s">
        <v>132</v>
      </c>
      <c r="IHT47" s="22" t="s">
        <v>46</v>
      </c>
      <c r="IHU47" s="8" t="s">
        <v>433</v>
      </c>
      <c r="IHV47" s="32" t="s">
        <v>92</v>
      </c>
      <c r="IHW47" s="8" t="s">
        <v>132</v>
      </c>
      <c r="IHX47" s="22" t="s">
        <v>46</v>
      </c>
      <c r="IHY47" s="8" t="s">
        <v>433</v>
      </c>
      <c r="IHZ47" s="32" t="s">
        <v>92</v>
      </c>
      <c r="IIA47" s="8" t="s">
        <v>132</v>
      </c>
      <c r="IIB47" s="22" t="s">
        <v>46</v>
      </c>
      <c r="IIC47" s="8" t="s">
        <v>433</v>
      </c>
      <c r="IID47" s="32" t="s">
        <v>92</v>
      </c>
      <c r="IIE47" s="8" t="s">
        <v>132</v>
      </c>
      <c r="IIF47" s="22" t="s">
        <v>46</v>
      </c>
      <c r="IIG47" s="8" t="s">
        <v>433</v>
      </c>
      <c r="IIH47" s="32" t="s">
        <v>92</v>
      </c>
      <c r="III47" s="8" t="s">
        <v>132</v>
      </c>
      <c r="IIJ47" s="22" t="s">
        <v>46</v>
      </c>
      <c r="IIK47" s="8" t="s">
        <v>433</v>
      </c>
      <c r="IIL47" s="32" t="s">
        <v>92</v>
      </c>
      <c r="IIM47" s="8" t="s">
        <v>132</v>
      </c>
      <c r="IIN47" s="22" t="s">
        <v>46</v>
      </c>
      <c r="IIO47" s="8" t="s">
        <v>433</v>
      </c>
      <c r="IIP47" s="32" t="s">
        <v>92</v>
      </c>
      <c r="IIQ47" s="8" t="s">
        <v>132</v>
      </c>
      <c r="IIR47" s="22" t="s">
        <v>46</v>
      </c>
      <c r="IIS47" s="8" t="s">
        <v>433</v>
      </c>
      <c r="IIT47" s="32" t="s">
        <v>92</v>
      </c>
      <c r="IIU47" s="8" t="s">
        <v>132</v>
      </c>
      <c r="IIV47" s="22" t="s">
        <v>46</v>
      </c>
      <c r="IIW47" s="8" t="s">
        <v>433</v>
      </c>
      <c r="IIX47" s="32" t="s">
        <v>92</v>
      </c>
      <c r="IIY47" s="8" t="s">
        <v>132</v>
      </c>
      <c r="IIZ47" s="22" t="s">
        <v>46</v>
      </c>
      <c r="IJA47" s="8" t="s">
        <v>433</v>
      </c>
      <c r="IJB47" s="32" t="s">
        <v>92</v>
      </c>
      <c r="IJC47" s="8" t="s">
        <v>132</v>
      </c>
      <c r="IJD47" s="22" t="s">
        <v>46</v>
      </c>
      <c r="IJE47" s="8" t="s">
        <v>433</v>
      </c>
      <c r="IJF47" s="32" t="s">
        <v>92</v>
      </c>
      <c r="IJG47" s="8" t="s">
        <v>132</v>
      </c>
      <c r="IJH47" s="22" t="s">
        <v>46</v>
      </c>
      <c r="IJI47" s="8" t="s">
        <v>433</v>
      </c>
      <c r="IJJ47" s="32" t="s">
        <v>92</v>
      </c>
      <c r="IJK47" s="8" t="s">
        <v>132</v>
      </c>
      <c r="IJL47" s="22" t="s">
        <v>46</v>
      </c>
      <c r="IJM47" s="8" t="s">
        <v>433</v>
      </c>
      <c r="IJN47" s="32" t="s">
        <v>92</v>
      </c>
      <c r="IJO47" s="8" t="s">
        <v>132</v>
      </c>
      <c r="IJP47" s="22" t="s">
        <v>46</v>
      </c>
      <c r="IJQ47" s="8" t="s">
        <v>433</v>
      </c>
      <c r="IJR47" s="32" t="s">
        <v>92</v>
      </c>
      <c r="IJS47" s="8" t="s">
        <v>132</v>
      </c>
      <c r="IJT47" s="22" t="s">
        <v>46</v>
      </c>
      <c r="IJU47" s="8" t="s">
        <v>433</v>
      </c>
      <c r="IJV47" s="32" t="s">
        <v>92</v>
      </c>
      <c r="IJW47" s="8" t="s">
        <v>132</v>
      </c>
      <c r="IJX47" s="22" t="s">
        <v>46</v>
      </c>
      <c r="IJY47" s="8" t="s">
        <v>433</v>
      </c>
      <c r="IJZ47" s="32" t="s">
        <v>92</v>
      </c>
      <c r="IKA47" s="8" t="s">
        <v>132</v>
      </c>
      <c r="IKB47" s="22" t="s">
        <v>46</v>
      </c>
      <c r="IKC47" s="8" t="s">
        <v>433</v>
      </c>
      <c r="IKD47" s="32" t="s">
        <v>92</v>
      </c>
      <c r="IKE47" s="8" t="s">
        <v>132</v>
      </c>
      <c r="IKF47" s="22" t="s">
        <v>46</v>
      </c>
      <c r="IKG47" s="8" t="s">
        <v>433</v>
      </c>
      <c r="IKH47" s="32" t="s">
        <v>92</v>
      </c>
      <c r="IKI47" s="8" t="s">
        <v>132</v>
      </c>
      <c r="IKJ47" s="22" t="s">
        <v>46</v>
      </c>
      <c r="IKK47" s="8" t="s">
        <v>433</v>
      </c>
      <c r="IKL47" s="32" t="s">
        <v>92</v>
      </c>
      <c r="IKM47" s="8" t="s">
        <v>132</v>
      </c>
      <c r="IKN47" s="22" t="s">
        <v>46</v>
      </c>
      <c r="IKO47" s="8" t="s">
        <v>433</v>
      </c>
      <c r="IKP47" s="32" t="s">
        <v>92</v>
      </c>
      <c r="IKQ47" s="8" t="s">
        <v>132</v>
      </c>
      <c r="IKR47" s="22" t="s">
        <v>46</v>
      </c>
      <c r="IKS47" s="8" t="s">
        <v>433</v>
      </c>
      <c r="IKT47" s="32" t="s">
        <v>92</v>
      </c>
      <c r="IKU47" s="8" t="s">
        <v>132</v>
      </c>
      <c r="IKV47" s="22" t="s">
        <v>46</v>
      </c>
      <c r="IKW47" s="8" t="s">
        <v>433</v>
      </c>
      <c r="IKX47" s="32" t="s">
        <v>92</v>
      </c>
      <c r="IKY47" s="8" t="s">
        <v>132</v>
      </c>
      <c r="IKZ47" s="22" t="s">
        <v>46</v>
      </c>
      <c r="ILA47" s="8" t="s">
        <v>433</v>
      </c>
      <c r="ILB47" s="32" t="s">
        <v>92</v>
      </c>
      <c r="ILC47" s="8" t="s">
        <v>132</v>
      </c>
      <c r="ILD47" s="22" t="s">
        <v>46</v>
      </c>
      <c r="ILE47" s="8" t="s">
        <v>433</v>
      </c>
      <c r="ILF47" s="32" t="s">
        <v>92</v>
      </c>
      <c r="ILG47" s="8" t="s">
        <v>132</v>
      </c>
      <c r="ILH47" s="22" t="s">
        <v>46</v>
      </c>
      <c r="ILI47" s="8" t="s">
        <v>433</v>
      </c>
      <c r="ILJ47" s="32" t="s">
        <v>92</v>
      </c>
      <c r="ILK47" s="8" t="s">
        <v>132</v>
      </c>
      <c r="ILL47" s="22" t="s">
        <v>46</v>
      </c>
      <c r="ILM47" s="8" t="s">
        <v>433</v>
      </c>
      <c r="ILN47" s="32" t="s">
        <v>92</v>
      </c>
      <c r="ILO47" s="8" t="s">
        <v>132</v>
      </c>
      <c r="ILP47" s="22" t="s">
        <v>46</v>
      </c>
      <c r="ILQ47" s="8" t="s">
        <v>433</v>
      </c>
      <c r="ILR47" s="32" t="s">
        <v>92</v>
      </c>
      <c r="ILS47" s="8" t="s">
        <v>132</v>
      </c>
      <c r="ILT47" s="22" t="s">
        <v>46</v>
      </c>
      <c r="ILU47" s="8" t="s">
        <v>433</v>
      </c>
      <c r="ILV47" s="32" t="s">
        <v>92</v>
      </c>
      <c r="ILW47" s="8" t="s">
        <v>132</v>
      </c>
      <c r="ILX47" s="22" t="s">
        <v>46</v>
      </c>
      <c r="ILY47" s="8" t="s">
        <v>433</v>
      </c>
      <c r="ILZ47" s="32" t="s">
        <v>92</v>
      </c>
      <c r="IMA47" s="8" t="s">
        <v>132</v>
      </c>
      <c r="IMB47" s="22" t="s">
        <v>46</v>
      </c>
      <c r="IMC47" s="8" t="s">
        <v>433</v>
      </c>
      <c r="IMD47" s="32" t="s">
        <v>92</v>
      </c>
      <c r="IME47" s="8" t="s">
        <v>132</v>
      </c>
      <c r="IMF47" s="22" t="s">
        <v>46</v>
      </c>
      <c r="IMG47" s="8" t="s">
        <v>433</v>
      </c>
      <c r="IMH47" s="32" t="s">
        <v>92</v>
      </c>
      <c r="IMI47" s="8" t="s">
        <v>132</v>
      </c>
      <c r="IMJ47" s="22" t="s">
        <v>46</v>
      </c>
      <c r="IMK47" s="8" t="s">
        <v>433</v>
      </c>
      <c r="IML47" s="32" t="s">
        <v>92</v>
      </c>
      <c r="IMM47" s="8" t="s">
        <v>132</v>
      </c>
      <c r="IMN47" s="22" t="s">
        <v>46</v>
      </c>
      <c r="IMO47" s="8" t="s">
        <v>433</v>
      </c>
      <c r="IMP47" s="32" t="s">
        <v>92</v>
      </c>
      <c r="IMQ47" s="8" t="s">
        <v>132</v>
      </c>
      <c r="IMR47" s="22" t="s">
        <v>46</v>
      </c>
      <c r="IMS47" s="8" t="s">
        <v>433</v>
      </c>
      <c r="IMT47" s="32" t="s">
        <v>92</v>
      </c>
      <c r="IMU47" s="8" t="s">
        <v>132</v>
      </c>
      <c r="IMV47" s="22" t="s">
        <v>46</v>
      </c>
      <c r="IMW47" s="8" t="s">
        <v>433</v>
      </c>
      <c r="IMX47" s="32" t="s">
        <v>92</v>
      </c>
      <c r="IMY47" s="8" t="s">
        <v>132</v>
      </c>
      <c r="IMZ47" s="22" t="s">
        <v>46</v>
      </c>
      <c r="INA47" s="8" t="s">
        <v>433</v>
      </c>
      <c r="INB47" s="32" t="s">
        <v>92</v>
      </c>
      <c r="INC47" s="8" t="s">
        <v>132</v>
      </c>
      <c r="IND47" s="22" t="s">
        <v>46</v>
      </c>
      <c r="INE47" s="8" t="s">
        <v>433</v>
      </c>
      <c r="INF47" s="32" t="s">
        <v>92</v>
      </c>
      <c r="ING47" s="8" t="s">
        <v>132</v>
      </c>
      <c r="INH47" s="22" t="s">
        <v>46</v>
      </c>
      <c r="INI47" s="8" t="s">
        <v>433</v>
      </c>
      <c r="INJ47" s="32" t="s">
        <v>92</v>
      </c>
      <c r="INK47" s="8" t="s">
        <v>132</v>
      </c>
      <c r="INL47" s="22" t="s">
        <v>46</v>
      </c>
      <c r="INM47" s="8" t="s">
        <v>433</v>
      </c>
      <c r="INN47" s="32" t="s">
        <v>92</v>
      </c>
      <c r="INO47" s="8" t="s">
        <v>132</v>
      </c>
      <c r="INP47" s="22" t="s">
        <v>46</v>
      </c>
      <c r="INQ47" s="8" t="s">
        <v>433</v>
      </c>
      <c r="INR47" s="32" t="s">
        <v>92</v>
      </c>
      <c r="INS47" s="8" t="s">
        <v>132</v>
      </c>
      <c r="INT47" s="22" t="s">
        <v>46</v>
      </c>
      <c r="INU47" s="8" t="s">
        <v>433</v>
      </c>
      <c r="INV47" s="32" t="s">
        <v>92</v>
      </c>
      <c r="INW47" s="8" t="s">
        <v>132</v>
      </c>
      <c r="INX47" s="22" t="s">
        <v>46</v>
      </c>
      <c r="INY47" s="8" t="s">
        <v>433</v>
      </c>
      <c r="INZ47" s="32" t="s">
        <v>92</v>
      </c>
      <c r="IOA47" s="8" t="s">
        <v>132</v>
      </c>
      <c r="IOB47" s="22" t="s">
        <v>46</v>
      </c>
      <c r="IOC47" s="8" t="s">
        <v>433</v>
      </c>
      <c r="IOD47" s="32" t="s">
        <v>92</v>
      </c>
      <c r="IOE47" s="8" t="s">
        <v>132</v>
      </c>
      <c r="IOF47" s="22" t="s">
        <v>46</v>
      </c>
      <c r="IOG47" s="8" t="s">
        <v>433</v>
      </c>
      <c r="IOH47" s="32" t="s">
        <v>92</v>
      </c>
      <c r="IOI47" s="8" t="s">
        <v>132</v>
      </c>
      <c r="IOJ47" s="22" t="s">
        <v>46</v>
      </c>
      <c r="IOK47" s="8" t="s">
        <v>433</v>
      </c>
      <c r="IOL47" s="32" t="s">
        <v>92</v>
      </c>
      <c r="IOM47" s="8" t="s">
        <v>132</v>
      </c>
      <c r="ION47" s="22" t="s">
        <v>46</v>
      </c>
      <c r="IOO47" s="8" t="s">
        <v>433</v>
      </c>
      <c r="IOP47" s="32" t="s">
        <v>92</v>
      </c>
      <c r="IOQ47" s="8" t="s">
        <v>132</v>
      </c>
      <c r="IOR47" s="22" t="s">
        <v>46</v>
      </c>
      <c r="IOS47" s="8" t="s">
        <v>433</v>
      </c>
      <c r="IOT47" s="32" t="s">
        <v>92</v>
      </c>
      <c r="IOU47" s="8" t="s">
        <v>132</v>
      </c>
      <c r="IOV47" s="22" t="s">
        <v>46</v>
      </c>
      <c r="IOW47" s="8" t="s">
        <v>433</v>
      </c>
      <c r="IOX47" s="32" t="s">
        <v>92</v>
      </c>
      <c r="IOY47" s="8" t="s">
        <v>132</v>
      </c>
      <c r="IOZ47" s="22" t="s">
        <v>46</v>
      </c>
      <c r="IPA47" s="8" t="s">
        <v>433</v>
      </c>
      <c r="IPB47" s="32" t="s">
        <v>92</v>
      </c>
      <c r="IPC47" s="8" t="s">
        <v>132</v>
      </c>
      <c r="IPD47" s="22" t="s">
        <v>46</v>
      </c>
      <c r="IPE47" s="8" t="s">
        <v>433</v>
      </c>
      <c r="IPF47" s="32" t="s">
        <v>92</v>
      </c>
      <c r="IPG47" s="8" t="s">
        <v>132</v>
      </c>
      <c r="IPH47" s="22" t="s">
        <v>46</v>
      </c>
      <c r="IPI47" s="8" t="s">
        <v>433</v>
      </c>
      <c r="IPJ47" s="32" t="s">
        <v>92</v>
      </c>
      <c r="IPK47" s="8" t="s">
        <v>132</v>
      </c>
      <c r="IPL47" s="22" t="s">
        <v>46</v>
      </c>
      <c r="IPM47" s="8" t="s">
        <v>433</v>
      </c>
      <c r="IPN47" s="32" t="s">
        <v>92</v>
      </c>
      <c r="IPO47" s="8" t="s">
        <v>132</v>
      </c>
      <c r="IPP47" s="22" t="s">
        <v>46</v>
      </c>
      <c r="IPQ47" s="8" t="s">
        <v>433</v>
      </c>
      <c r="IPR47" s="32" t="s">
        <v>92</v>
      </c>
      <c r="IPS47" s="8" t="s">
        <v>132</v>
      </c>
      <c r="IPT47" s="22" t="s">
        <v>46</v>
      </c>
      <c r="IPU47" s="8" t="s">
        <v>433</v>
      </c>
      <c r="IPV47" s="32" t="s">
        <v>92</v>
      </c>
      <c r="IPW47" s="8" t="s">
        <v>132</v>
      </c>
      <c r="IPX47" s="22" t="s">
        <v>46</v>
      </c>
      <c r="IPY47" s="8" t="s">
        <v>433</v>
      </c>
      <c r="IPZ47" s="32" t="s">
        <v>92</v>
      </c>
      <c r="IQA47" s="8" t="s">
        <v>132</v>
      </c>
      <c r="IQB47" s="22" t="s">
        <v>46</v>
      </c>
      <c r="IQC47" s="8" t="s">
        <v>433</v>
      </c>
      <c r="IQD47" s="32" t="s">
        <v>92</v>
      </c>
      <c r="IQE47" s="8" t="s">
        <v>132</v>
      </c>
      <c r="IQF47" s="22" t="s">
        <v>46</v>
      </c>
      <c r="IQG47" s="8" t="s">
        <v>433</v>
      </c>
      <c r="IQH47" s="32" t="s">
        <v>92</v>
      </c>
      <c r="IQI47" s="8" t="s">
        <v>132</v>
      </c>
      <c r="IQJ47" s="22" t="s">
        <v>46</v>
      </c>
      <c r="IQK47" s="8" t="s">
        <v>433</v>
      </c>
      <c r="IQL47" s="32" t="s">
        <v>92</v>
      </c>
      <c r="IQM47" s="8" t="s">
        <v>132</v>
      </c>
      <c r="IQN47" s="22" t="s">
        <v>46</v>
      </c>
      <c r="IQO47" s="8" t="s">
        <v>433</v>
      </c>
      <c r="IQP47" s="32" t="s">
        <v>92</v>
      </c>
      <c r="IQQ47" s="8" t="s">
        <v>132</v>
      </c>
      <c r="IQR47" s="22" t="s">
        <v>46</v>
      </c>
      <c r="IQS47" s="8" t="s">
        <v>433</v>
      </c>
      <c r="IQT47" s="32" t="s">
        <v>92</v>
      </c>
      <c r="IQU47" s="8" t="s">
        <v>132</v>
      </c>
      <c r="IQV47" s="22" t="s">
        <v>46</v>
      </c>
      <c r="IQW47" s="8" t="s">
        <v>433</v>
      </c>
      <c r="IQX47" s="32" t="s">
        <v>92</v>
      </c>
      <c r="IQY47" s="8" t="s">
        <v>132</v>
      </c>
      <c r="IQZ47" s="22" t="s">
        <v>46</v>
      </c>
      <c r="IRA47" s="8" t="s">
        <v>433</v>
      </c>
      <c r="IRB47" s="32" t="s">
        <v>92</v>
      </c>
      <c r="IRC47" s="8" t="s">
        <v>132</v>
      </c>
      <c r="IRD47" s="22" t="s">
        <v>46</v>
      </c>
      <c r="IRE47" s="8" t="s">
        <v>433</v>
      </c>
      <c r="IRF47" s="32" t="s">
        <v>92</v>
      </c>
      <c r="IRG47" s="8" t="s">
        <v>132</v>
      </c>
      <c r="IRH47" s="22" t="s">
        <v>46</v>
      </c>
      <c r="IRI47" s="8" t="s">
        <v>433</v>
      </c>
      <c r="IRJ47" s="32" t="s">
        <v>92</v>
      </c>
      <c r="IRK47" s="8" t="s">
        <v>132</v>
      </c>
      <c r="IRL47" s="22" t="s">
        <v>46</v>
      </c>
      <c r="IRM47" s="8" t="s">
        <v>433</v>
      </c>
      <c r="IRN47" s="32" t="s">
        <v>92</v>
      </c>
      <c r="IRO47" s="8" t="s">
        <v>132</v>
      </c>
      <c r="IRP47" s="22" t="s">
        <v>46</v>
      </c>
      <c r="IRQ47" s="8" t="s">
        <v>433</v>
      </c>
      <c r="IRR47" s="32" t="s">
        <v>92</v>
      </c>
      <c r="IRS47" s="8" t="s">
        <v>132</v>
      </c>
      <c r="IRT47" s="22" t="s">
        <v>46</v>
      </c>
      <c r="IRU47" s="8" t="s">
        <v>433</v>
      </c>
      <c r="IRV47" s="32" t="s">
        <v>92</v>
      </c>
      <c r="IRW47" s="8" t="s">
        <v>132</v>
      </c>
      <c r="IRX47" s="22" t="s">
        <v>46</v>
      </c>
      <c r="IRY47" s="8" t="s">
        <v>433</v>
      </c>
      <c r="IRZ47" s="32" t="s">
        <v>92</v>
      </c>
      <c r="ISA47" s="8" t="s">
        <v>132</v>
      </c>
      <c r="ISB47" s="22" t="s">
        <v>46</v>
      </c>
      <c r="ISC47" s="8" t="s">
        <v>433</v>
      </c>
      <c r="ISD47" s="32" t="s">
        <v>92</v>
      </c>
      <c r="ISE47" s="8" t="s">
        <v>132</v>
      </c>
      <c r="ISF47" s="22" t="s">
        <v>46</v>
      </c>
      <c r="ISG47" s="8" t="s">
        <v>433</v>
      </c>
      <c r="ISH47" s="32" t="s">
        <v>92</v>
      </c>
      <c r="ISI47" s="8" t="s">
        <v>132</v>
      </c>
      <c r="ISJ47" s="22" t="s">
        <v>46</v>
      </c>
      <c r="ISK47" s="8" t="s">
        <v>433</v>
      </c>
      <c r="ISL47" s="32" t="s">
        <v>92</v>
      </c>
      <c r="ISM47" s="8" t="s">
        <v>132</v>
      </c>
      <c r="ISN47" s="22" t="s">
        <v>46</v>
      </c>
      <c r="ISO47" s="8" t="s">
        <v>433</v>
      </c>
      <c r="ISP47" s="32" t="s">
        <v>92</v>
      </c>
      <c r="ISQ47" s="8" t="s">
        <v>132</v>
      </c>
      <c r="ISR47" s="22" t="s">
        <v>46</v>
      </c>
      <c r="ISS47" s="8" t="s">
        <v>433</v>
      </c>
      <c r="IST47" s="32" t="s">
        <v>92</v>
      </c>
      <c r="ISU47" s="8" t="s">
        <v>132</v>
      </c>
      <c r="ISV47" s="22" t="s">
        <v>46</v>
      </c>
      <c r="ISW47" s="8" t="s">
        <v>433</v>
      </c>
      <c r="ISX47" s="32" t="s">
        <v>92</v>
      </c>
      <c r="ISY47" s="8" t="s">
        <v>132</v>
      </c>
      <c r="ISZ47" s="22" t="s">
        <v>46</v>
      </c>
      <c r="ITA47" s="8" t="s">
        <v>433</v>
      </c>
      <c r="ITB47" s="32" t="s">
        <v>92</v>
      </c>
      <c r="ITC47" s="8" t="s">
        <v>132</v>
      </c>
      <c r="ITD47" s="22" t="s">
        <v>46</v>
      </c>
      <c r="ITE47" s="8" t="s">
        <v>433</v>
      </c>
      <c r="ITF47" s="32" t="s">
        <v>92</v>
      </c>
      <c r="ITG47" s="8" t="s">
        <v>132</v>
      </c>
      <c r="ITH47" s="22" t="s">
        <v>46</v>
      </c>
      <c r="ITI47" s="8" t="s">
        <v>433</v>
      </c>
      <c r="ITJ47" s="32" t="s">
        <v>92</v>
      </c>
      <c r="ITK47" s="8" t="s">
        <v>132</v>
      </c>
      <c r="ITL47" s="22" t="s">
        <v>46</v>
      </c>
      <c r="ITM47" s="8" t="s">
        <v>433</v>
      </c>
      <c r="ITN47" s="32" t="s">
        <v>92</v>
      </c>
      <c r="ITO47" s="8" t="s">
        <v>132</v>
      </c>
      <c r="ITP47" s="22" t="s">
        <v>46</v>
      </c>
      <c r="ITQ47" s="8" t="s">
        <v>433</v>
      </c>
      <c r="ITR47" s="32" t="s">
        <v>92</v>
      </c>
      <c r="ITS47" s="8" t="s">
        <v>132</v>
      </c>
      <c r="ITT47" s="22" t="s">
        <v>46</v>
      </c>
      <c r="ITU47" s="8" t="s">
        <v>433</v>
      </c>
      <c r="ITV47" s="32" t="s">
        <v>92</v>
      </c>
      <c r="ITW47" s="8" t="s">
        <v>132</v>
      </c>
      <c r="ITX47" s="22" t="s">
        <v>46</v>
      </c>
      <c r="ITY47" s="8" t="s">
        <v>433</v>
      </c>
      <c r="ITZ47" s="32" t="s">
        <v>92</v>
      </c>
      <c r="IUA47" s="8" t="s">
        <v>132</v>
      </c>
      <c r="IUB47" s="22" t="s">
        <v>46</v>
      </c>
      <c r="IUC47" s="8" t="s">
        <v>433</v>
      </c>
      <c r="IUD47" s="32" t="s">
        <v>92</v>
      </c>
      <c r="IUE47" s="8" t="s">
        <v>132</v>
      </c>
      <c r="IUF47" s="22" t="s">
        <v>46</v>
      </c>
      <c r="IUG47" s="8" t="s">
        <v>433</v>
      </c>
      <c r="IUH47" s="32" t="s">
        <v>92</v>
      </c>
      <c r="IUI47" s="8" t="s">
        <v>132</v>
      </c>
      <c r="IUJ47" s="22" t="s">
        <v>46</v>
      </c>
      <c r="IUK47" s="8" t="s">
        <v>433</v>
      </c>
      <c r="IUL47" s="32" t="s">
        <v>92</v>
      </c>
      <c r="IUM47" s="8" t="s">
        <v>132</v>
      </c>
      <c r="IUN47" s="22" t="s">
        <v>46</v>
      </c>
      <c r="IUO47" s="8" t="s">
        <v>433</v>
      </c>
      <c r="IUP47" s="32" t="s">
        <v>92</v>
      </c>
      <c r="IUQ47" s="8" t="s">
        <v>132</v>
      </c>
      <c r="IUR47" s="22" t="s">
        <v>46</v>
      </c>
      <c r="IUS47" s="8" t="s">
        <v>433</v>
      </c>
      <c r="IUT47" s="32" t="s">
        <v>92</v>
      </c>
      <c r="IUU47" s="8" t="s">
        <v>132</v>
      </c>
      <c r="IUV47" s="22" t="s">
        <v>46</v>
      </c>
      <c r="IUW47" s="8" t="s">
        <v>433</v>
      </c>
      <c r="IUX47" s="32" t="s">
        <v>92</v>
      </c>
      <c r="IUY47" s="8" t="s">
        <v>132</v>
      </c>
      <c r="IUZ47" s="22" t="s">
        <v>46</v>
      </c>
      <c r="IVA47" s="8" t="s">
        <v>433</v>
      </c>
      <c r="IVB47" s="32" t="s">
        <v>92</v>
      </c>
      <c r="IVC47" s="8" t="s">
        <v>132</v>
      </c>
      <c r="IVD47" s="22" t="s">
        <v>46</v>
      </c>
      <c r="IVE47" s="8" t="s">
        <v>433</v>
      </c>
      <c r="IVF47" s="32" t="s">
        <v>92</v>
      </c>
      <c r="IVG47" s="8" t="s">
        <v>132</v>
      </c>
      <c r="IVH47" s="22" t="s">
        <v>46</v>
      </c>
      <c r="IVI47" s="8" t="s">
        <v>433</v>
      </c>
      <c r="IVJ47" s="32" t="s">
        <v>92</v>
      </c>
      <c r="IVK47" s="8" t="s">
        <v>132</v>
      </c>
      <c r="IVL47" s="22" t="s">
        <v>46</v>
      </c>
      <c r="IVM47" s="8" t="s">
        <v>433</v>
      </c>
      <c r="IVN47" s="32" t="s">
        <v>92</v>
      </c>
      <c r="IVO47" s="8" t="s">
        <v>132</v>
      </c>
      <c r="IVP47" s="22" t="s">
        <v>46</v>
      </c>
      <c r="IVQ47" s="8" t="s">
        <v>433</v>
      </c>
      <c r="IVR47" s="32" t="s">
        <v>92</v>
      </c>
      <c r="IVS47" s="8" t="s">
        <v>132</v>
      </c>
      <c r="IVT47" s="22" t="s">
        <v>46</v>
      </c>
      <c r="IVU47" s="8" t="s">
        <v>433</v>
      </c>
      <c r="IVV47" s="32" t="s">
        <v>92</v>
      </c>
      <c r="IVW47" s="8" t="s">
        <v>132</v>
      </c>
      <c r="IVX47" s="22" t="s">
        <v>46</v>
      </c>
      <c r="IVY47" s="8" t="s">
        <v>433</v>
      </c>
      <c r="IVZ47" s="32" t="s">
        <v>92</v>
      </c>
      <c r="IWA47" s="8" t="s">
        <v>132</v>
      </c>
      <c r="IWB47" s="22" t="s">
        <v>46</v>
      </c>
      <c r="IWC47" s="8" t="s">
        <v>433</v>
      </c>
      <c r="IWD47" s="32" t="s">
        <v>92</v>
      </c>
      <c r="IWE47" s="8" t="s">
        <v>132</v>
      </c>
      <c r="IWF47" s="22" t="s">
        <v>46</v>
      </c>
      <c r="IWG47" s="8" t="s">
        <v>433</v>
      </c>
      <c r="IWH47" s="32" t="s">
        <v>92</v>
      </c>
      <c r="IWI47" s="8" t="s">
        <v>132</v>
      </c>
      <c r="IWJ47" s="22" t="s">
        <v>46</v>
      </c>
      <c r="IWK47" s="8" t="s">
        <v>433</v>
      </c>
      <c r="IWL47" s="32" t="s">
        <v>92</v>
      </c>
      <c r="IWM47" s="8" t="s">
        <v>132</v>
      </c>
      <c r="IWN47" s="22" t="s">
        <v>46</v>
      </c>
      <c r="IWO47" s="8" t="s">
        <v>433</v>
      </c>
      <c r="IWP47" s="32" t="s">
        <v>92</v>
      </c>
      <c r="IWQ47" s="8" t="s">
        <v>132</v>
      </c>
      <c r="IWR47" s="22" t="s">
        <v>46</v>
      </c>
      <c r="IWS47" s="8" t="s">
        <v>433</v>
      </c>
      <c r="IWT47" s="32" t="s">
        <v>92</v>
      </c>
      <c r="IWU47" s="8" t="s">
        <v>132</v>
      </c>
      <c r="IWV47" s="22" t="s">
        <v>46</v>
      </c>
      <c r="IWW47" s="8" t="s">
        <v>433</v>
      </c>
      <c r="IWX47" s="32" t="s">
        <v>92</v>
      </c>
      <c r="IWY47" s="8" t="s">
        <v>132</v>
      </c>
      <c r="IWZ47" s="22" t="s">
        <v>46</v>
      </c>
      <c r="IXA47" s="8" t="s">
        <v>433</v>
      </c>
      <c r="IXB47" s="32" t="s">
        <v>92</v>
      </c>
      <c r="IXC47" s="8" t="s">
        <v>132</v>
      </c>
      <c r="IXD47" s="22" t="s">
        <v>46</v>
      </c>
      <c r="IXE47" s="8" t="s">
        <v>433</v>
      </c>
      <c r="IXF47" s="32" t="s">
        <v>92</v>
      </c>
      <c r="IXG47" s="8" t="s">
        <v>132</v>
      </c>
      <c r="IXH47" s="22" t="s">
        <v>46</v>
      </c>
      <c r="IXI47" s="8" t="s">
        <v>433</v>
      </c>
      <c r="IXJ47" s="32" t="s">
        <v>92</v>
      </c>
      <c r="IXK47" s="8" t="s">
        <v>132</v>
      </c>
      <c r="IXL47" s="22" t="s">
        <v>46</v>
      </c>
      <c r="IXM47" s="8" t="s">
        <v>433</v>
      </c>
      <c r="IXN47" s="32" t="s">
        <v>92</v>
      </c>
      <c r="IXO47" s="8" t="s">
        <v>132</v>
      </c>
      <c r="IXP47" s="22" t="s">
        <v>46</v>
      </c>
      <c r="IXQ47" s="8" t="s">
        <v>433</v>
      </c>
      <c r="IXR47" s="32" t="s">
        <v>92</v>
      </c>
      <c r="IXS47" s="8" t="s">
        <v>132</v>
      </c>
      <c r="IXT47" s="22" t="s">
        <v>46</v>
      </c>
      <c r="IXU47" s="8" t="s">
        <v>433</v>
      </c>
      <c r="IXV47" s="32" t="s">
        <v>92</v>
      </c>
      <c r="IXW47" s="8" t="s">
        <v>132</v>
      </c>
      <c r="IXX47" s="22" t="s">
        <v>46</v>
      </c>
      <c r="IXY47" s="8" t="s">
        <v>433</v>
      </c>
      <c r="IXZ47" s="32" t="s">
        <v>92</v>
      </c>
      <c r="IYA47" s="8" t="s">
        <v>132</v>
      </c>
      <c r="IYB47" s="22" t="s">
        <v>46</v>
      </c>
      <c r="IYC47" s="8" t="s">
        <v>433</v>
      </c>
      <c r="IYD47" s="32" t="s">
        <v>92</v>
      </c>
      <c r="IYE47" s="8" t="s">
        <v>132</v>
      </c>
      <c r="IYF47" s="22" t="s">
        <v>46</v>
      </c>
      <c r="IYG47" s="8" t="s">
        <v>433</v>
      </c>
      <c r="IYH47" s="32" t="s">
        <v>92</v>
      </c>
      <c r="IYI47" s="8" t="s">
        <v>132</v>
      </c>
      <c r="IYJ47" s="22" t="s">
        <v>46</v>
      </c>
      <c r="IYK47" s="8" t="s">
        <v>433</v>
      </c>
      <c r="IYL47" s="32" t="s">
        <v>92</v>
      </c>
      <c r="IYM47" s="8" t="s">
        <v>132</v>
      </c>
      <c r="IYN47" s="22" t="s">
        <v>46</v>
      </c>
      <c r="IYO47" s="8" t="s">
        <v>433</v>
      </c>
      <c r="IYP47" s="32" t="s">
        <v>92</v>
      </c>
      <c r="IYQ47" s="8" t="s">
        <v>132</v>
      </c>
      <c r="IYR47" s="22" t="s">
        <v>46</v>
      </c>
      <c r="IYS47" s="8" t="s">
        <v>433</v>
      </c>
      <c r="IYT47" s="32" t="s">
        <v>92</v>
      </c>
      <c r="IYU47" s="8" t="s">
        <v>132</v>
      </c>
      <c r="IYV47" s="22" t="s">
        <v>46</v>
      </c>
      <c r="IYW47" s="8" t="s">
        <v>433</v>
      </c>
      <c r="IYX47" s="32" t="s">
        <v>92</v>
      </c>
      <c r="IYY47" s="8" t="s">
        <v>132</v>
      </c>
      <c r="IYZ47" s="22" t="s">
        <v>46</v>
      </c>
      <c r="IZA47" s="8" t="s">
        <v>433</v>
      </c>
      <c r="IZB47" s="32" t="s">
        <v>92</v>
      </c>
      <c r="IZC47" s="8" t="s">
        <v>132</v>
      </c>
      <c r="IZD47" s="22" t="s">
        <v>46</v>
      </c>
      <c r="IZE47" s="8" t="s">
        <v>433</v>
      </c>
      <c r="IZF47" s="32" t="s">
        <v>92</v>
      </c>
      <c r="IZG47" s="8" t="s">
        <v>132</v>
      </c>
      <c r="IZH47" s="22" t="s">
        <v>46</v>
      </c>
      <c r="IZI47" s="8" t="s">
        <v>433</v>
      </c>
      <c r="IZJ47" s="32" t="s">
        <v>92</v>
      </c>
      <c r="IZK47" s="8" t="s">
        <v>132</v>
      </c>
      <c r="IZL47" s="22" t="s">
        <v>46</v>
      </c>
      <c r="IZM47" s="8" t="s">
        <v>433</v>
      </c>
      <c r="IZN47" s="32" t="s">
        <v>92</v>
      </c>
      <c r="IZO47" s="8" t="s">
        <v>132</v>
      </c>
      <c r="IZP47" s="22" t="s">
        <v>46</v>
      </c>
      <c r="IZQ47" s="8" t="s">
        <v>433</v>
      </c>
      <c r="IZR47" s="32" t="s">
        <v>92</v>
      </c>
      <c r="IZS47" s="8" t="s">
        <v>132</v>
      </c>
      <c r="IZT47" s="22" t="s">
        <v>46</v>
      </c>
      <c r="IZU47" s="8" t="s">
        <v>433</v>
      </c>
      <c r="IZV47" s="32" t="s">
        <v>92</v>
      </c>
      <c r="IZW47" s="8" t="s">
        <v>132</v>
      </c>
      <c r="IZX47" s="22" t="s">
        <v>46</v>
      </c>
      <c r="IZY47" s="8" t="s">
        <v>433</v>
      </c>
      <c r="IZZ47" s="32" t="s">
        <v>92</v>
      </c>
      <c r="JAA47" s="8" t="s">
        <v>132</v>
      </c>
      <c r="JAB47" s="22" t="s">
        <v>46</v>
      </c>
      <c r="JAC47" s="8" t="s">
        <v>433</v>
      </c>
      <c r="JAD47" s="32" t="s">
        <v>92</v>
      </c>
      <c r="JAE47" s="8" t="s">
        <v>132</v>
      </c>
      <c r="JAF47" s="22" t="s">
        <v>46</v>
      </c>
      <c r="JAG47" s="8" t="s">
        <v>433</v>
      </c>
      <c r="JAH47" s="32" t="s">
        <v>92</v>
      </c>
      <c r="JAI47" s="8" t="s">
        <v>132</v>
      </c>
      <c r="JAJ47" s="22" t="s">
        <v>46</v>
      </c>
      <c r="JAK47" s="8" t="s">
        <v>433</v>
      </c>
      <c r="JAL47" s="32" t="s">
        <v>92</v>
      </c>
      <c r="JAM47" s="8" t="s">
        <v>132</v>
      </c>
      <c r="JAN47" s="22" t="s">
        <v>46</v>
      </c>
      <c r="JAO47" s="8" t="s">
        <v>433</v>
      </c>
      <c r="JAP47" s="32" t="s">
        <v>92</v>
      </c>
      <c r="JAQ47" s="8" t="s">
        <v>132</v>
      </c>
      <c r="JAR47" s="22" t="s">
        <v>46</v>
      </c>
      <c r="JAS47" s="8" t="s">
        <v>433</v>
      </c>
      <c r="JAT47" s="32" t="s">
        <v>92</v>
      </c>
      <c r="JAU47" s="8" t="s">
        <v>132</v>
      </c>
      <c r="JAV47" s="22" t="s">
        <v>46</v>
      </c>
      <c r="JAW47" s="8" t="s">
        <v>433</v>
      </c>
      <c r="JAX47" s="32" t="s">
        <v>92</v>
      </c>
      <c r="JAY47" s="8" t="s">
        <v>132</v>
      </c>
      <c r="JAZ47" s="22" t="s">
        <v>46</v>
      </c>
      <c r="JBA47" s="8" t="s">
        <v>433</v>
      </c>
      <c r="JBB47" s="32" t="s">
        <v>92</v>
      </c>
      <c r="JBC47" s="8" t="s">
        <v>132</v>
      </c>
      <c r="JBD47" s="22" t="s">
        <v>46</v>
      </c>
      <c r="JBE47" s="8" t="s">
        <v>433</v>
      </c>
      <c r="JBF47" s="32" t="s">
        <v>92</v>
      </c>
      <c r="JBG47" s="8" t="s">
        <v>132</v>
      </c>
      <c r="JBH47" s="22" t="s">
        <v>46</v>
      </c>
      <c r="JBI47" s="8" t="s">
        <v>433</v>
      </c>
      <c r="JBJ47" s="32" t="s">
        <v>92</v>
      </c>
      <c r="JBK47" s="8" t="s">
        <v>132</v>
      </c>
      <c r="JBL47" s="22" t="s">
        <v>46</v>
      </c>
      <c r="JBM47" s="8" t="s">
        <v>433</v>
      </c>
      <c r="JBN47" s="32" t="s">
        <v>92</v>
      </c>
      <c r="JBO47" s="8" t="s">
        <v>132</v>
      </c>
      <c r="JBP47" s="22" t="s">
        <v>46</v>
      </c>
      <c r="JBQ47" s="8" t="s">
        <v>433</v>
      </c>
      <c r="JBR47" s="32" t="s">
        <v>92</v>
      </c>
      <c r="JBS47" s="8" t="s">
        <v>132</v>
      </c>
      <c r="JBT47" s="22" t="s">
        <v>46</v>
      </c>
      <c r="JBU47" s="8" t="s">
        <v>433</v>
      </c>
      <c r="JBV47" s="32" t="s">
        <v>92</v>
      </c>
      <c r="JBW47" s="8" t="s">
        <v>132</v>
      </c>
      <c r="JBX47" s="22" t="s">
        <v>46</v>
      </c>
      <c r="JBY47" s="8" t="s">
        <v>433</v>
      </c>
      <c r="JBZ47" s="32" t="s">
        <v>92</v>
      </c>
      <c r="JCA47" s="8" t="s">
        <v>132</v>
      </c>
      <c r="JCB47" s="22" t="s">
        <v>46</v>
      </c>
      <c r="JCC47" s="8" t="s">
        <v>433</v>
      </c>
      <c r="JCD47" s="32" t="s">
        <v>92</v>
      </c>
      <c r="JCE47" s="8" t="s">
        <v>132</v>
      </c>
      <c r="JCF47" s="22" t="s">
        <v>46</v>
      </c>
      <c r="JCG47" s="8" t="s">
        <v>433</v>
      </c>
      <c r="JCH47" s="32" t="s">
        <v>92</v>
      </c>
      <c r="JCI47" s="8" t="s">
        <v>132</v>
      </c>
      <c r="JCJ47" s="22" t="s">
        <v>46</v>
      </c>
      <c r="JCK47" s="8" t="s">
        <v>433</v>
      </c>
      <c r="JCL47" s="32" t="s">
        <v>92</v>
      </c>
      <c r="JCM47" s="8" t="s">
        <v>132</v>
      </c>
      <c r="JCN47" s="22" t="s">
        <v>46</v>
      </c>
      <c r="JCO47" s="8" t="s">
        <v>433</v>
      </c>
      <c r="JCP47" s="32" t="s">
        <v>92</v>
      </c>
      <c r="JCQ47" s="8" t="s">
        <v>132</v>
      </c>
      <c r="JCR47" s="22" t="s">
        <v>46</v>
      </c>
      <c r="JCS47" s="8" t="s">
        <v>433</v>
      </c>
      <c r="JCT47" s="32" t="s">
        <v>92</v>
      </c>
      <c r="JCU47" s="8" t="s">
        <v>132</v>
      </c>
      <c r="JCV47" s="22" t="s">
        <v>46</v>
      </c>
      <c r="JCW47" s="8" t="s">
        <v>433</v>
      </c>
      <c r="JCX47" s="32" t="s">
        <v>92</v>
      </c>
      <c r="JCY47" s="8" t="s">
        <v>132</v>
      </c>
      <c r="JCZ47" s="22" t="s">
        <v>46</v>
      </c>
      <c r="JDA47" s="8" t="s">
        <v>433</v>
      </c>
      <c r="JDB47" s="32" t="s">
        <v>92</v>
      </c>
      <c r="JDC47" s="8" t="s">
        <v>132</v>
      </c>
      <c r="JDD47" s="22" t="s">
        <v>46</v>
      </c>
      <c r="JDE47" s="8" t="s">
        <v>433</v>
      </c>
      <c r="JDF47" s="32" t="s">
        <v>92</v>
      </c>
      <c r="JDG47" s="8" t="s">
        <v>132</v>
      </c>
      <c r="JDH47" s="22" t="s">
        <v>46</v>
      </c>
      <c r="JDI47" s="8" t="s">
        <v>433</v>
      </c>
      <c r="JDJ47" s="32" t="s">
        <v>92</v>
      </c>
      <c r="JDK47" s="8" t="s">
        <v>132</v>
      </c>
      <c r="JDL47" s="22" t="s">
        <v>46</v>
      </c>
      <c r="JDM47" s="8" t="s">
        <v>433</v>
      </c>
      <c r="JDN47" s="32" t="s">
        <v>92</v>
      </c>
      <c r="JDO47" s="8" t="s">
        <v>132</v>
      </c>
      <c r="JDP47" s="22" t="s">
        <v>46</v>
      </c>
      <c r="JDQ47" s="8" t="s">
        <v>433</v>
      </c>
      <c r="JDR47" s="32" t="s">
        <v>92</v>
      </c>
      <c r="JDS47" s="8" t="s">
        <v>132</v>
      </c>
      <c r="JDT47" s="22" t="s">
        <v>46</v>
      </c>
      <c r="JDU47" s="8" t="s">
        <v>433</v>
      </c>
      <c r="JDV47" s="32" t="s">
        <v>92</v>
      </c>
      <c r="JDW47" s="8" t="s">
        <v>132</v>
      </c>
      <c r="JDX47" s="22" t="s">
        <v>46</v>
      </c>
      <c r="JDY47" s="8" t="s">
        <v>433</v>
      </c>
      <c r="JDZ47" s="32" t="s">
        <v>92</v>
      </c>
      <c r="JEA47" s="8" t="s">
        <v>132</v>
      </c>
      <c r="JEB47" s="22" t="s">
        <v>46</v>
      </c>
      <c r="JEC47" s="8" t="s">
        <v>433</v>
      </c>
      <c r="JED47" s="32" t="s">
        <v>92</v>
      </c>
      <c r="JEE47" s="8" t="s">
        <v>132</v>
      </c>
      <c r="JEF47" s="22" t="s">
        <v>46</v>
      </c>
      <c r="JEG47" s="8" t="s">
        <v>433</v>
      </c>
      <c r="JEH47" s="32" t="s">
        <v>92</v>
      </c>
      <c r="JEI47" s="8" t="s">
        <v>132</v>
      </c>
      <c r="JEJ47" s="22" t="s">
        <v>46</v>
      </c>
      <c r="JEK47" s="8" t="s">
        <v>433</v>
      </c>
      <c r="JEL47" s="32" t="s">
        <v>92</v>
      </c>
      <c r="JEM47" s="8" t="s">
        <v>132</v>
      </c>
      <c r="JEN47" s="22" t="s">
        <v>46</v>
      </c>
      <c r="JEO47" s="8" t="s">
        <v>433</v>
      </c>
      <c r="JEP47" s="32" t="s">
        <v>92</v>
      </c>
      <c r="JEQ47" s="8" t="s">
        <v>132</v>
      </c>
      <c r="JER47" s="22" t="s">
        <v>46</v>
      </c>
      <c r="JES47" s="8" t="s">
        <v>433</v>
      </c>
      <c r="JET47" s="32" t="s">
        <v>92</v>
      </c>
      <c r="JEU47" s="8" t="s">
        <v>132</v>
      </c>
      <c r="JEV47" s="22" t="s">
        <v>46</v>
      </c>
      <c r="JEW47" s="8" t="s">
        <v>433</v>
      </c>
      <c r="JEX47" s="32" t="s">
        <v>92</v>
      </c>
      <c r="JEY47" s="8" t="s">
        <v>132</v>
      </c>
      <c r="JEZ47" s="22" t="s">
        <v>46</v>
      </c>
      <c r="JFA47" s="8" t="s">
        <v>433</v>
      </c>
      <c r="JFB47" s="32" t="s">
        <v>92</v>
      </c>
      <c r="JFC47" s="8" t="s">
        <v>132</v>
      </c>
      <c r="JFD47" s="22" t="s">
        <v>46</v>
      </c>
      <c r="JFE47" s="8" t="s">
        <v>433</v>
      </c>
      <c r="JFF47" s="32" t="s">
        <v>92</v>
      </c>
      <c r="JFG47" s="8" t="s">
        <v>132</v>
      </c>
      <c r="JFH47" s="22" t="s">
        <v>46</v>
      </c>
      <c r="JFI47" s="8" t="s">
        <v>433</v>
      </c>
      <c r="JFJ47" s="32" t="s">
        <v>92</v>
      </c>
      <c r="JFK47" s="8" t="s">
        <v>132</v>
      </c>
      <c r="JFL47" s="22" t="s">
        <v>46</v>
      </c>
      <c r="JFM47" s="8" t="s">
        <v>433</v>
      </c>
      <c r="JFN47" s="32" t="s">
        <v>92</v>
      </c>
      <c r="JFO47" s="8" t="s">
        <v>132</v>
      </c>
      <c r="JFP47" s="22" t="s">
        <v>46</v>
      </c>
      <c r="JFQ47" s="8" t="s">
        <v>433</v>
      </c>
      <c r="JFR47" s="32" t="s">
        <v>92</v>
      </c>
      <c r="JFS47" s="8" t="s">
        <v>132</v>
      </c>
      <c r="JFT47" s="22" t="s">
        <v>46</v>
      </c>
      <c r="JFU47" s="8" t="s">
        <v>433</v>
      </c>
      <c r="JFV47" s="32" t="s">
        <v>92</v>
      </c>
      <c r="JFW47" s="8" t="s">
        <v>132</v>
      </c>
      <c r="JFX47" s="22" t="s">
        <v>46</v>
      </c>
      <c r="JFY47" s="8" t="s">
        <v>433</v>
      </c>
      <c r="JFZ47" s="32" t="s">
        <v>92</v>
      </c>
      <c r="JGA47" s="8" t="s">
        <v>132</v>
      </c>
      <c r="JGB47" s="22" t="s">
        <v>46</v>
      </c>
      <c r="JGC47" s="8" t="s">
        <v>433</v>
      </c>
      <c r="JGD47" s="32" t="s">
        <v>92</v>
      </c>
      <c r="JGE47" s="8" t="s">
        <v>132</v>
      </c>
      <c r="JGF47" s="22" t="s">
        <v>46</v>
      </c>
      <c r="JGG47" s="8" t="s">
        <v>433</v>
      </c>
      <c r="JGH47" s="32" t="s">
        <v>92</v>
      </c>
      <c r="JGI47" s="8" t="s">
        <v>132</v>
      </c>
      <c r="JGJ47" s="22" t="s">
        <v>46</v>
      </c>
      <c r="JGK47" s="8" t="s">
        <v>433</v>
      </c>
      <c r="JGL47" s="32" t="s">
        <v>92</v>
      </c>
      <c r="JGM47" s="8" t="s">
        <v>132</v>
      </c>
      <c r="JGN47" s="22" t="s">
        <v>46</v>
      </c>
      <c r="JGO47" s="8" t="s">
        <v>433</v>
      </c>
      <c r="JGP47" s="32" t="s">
        <v>92</v>
      </c>
      <c r="JGQ47" s="8" t="s">
        <v>132</v>
      </c>
      <c r="JGR47" s="22" t="s">
        <v>46</v>
      </c>
      <c r="JGS47" s="8" t="s">
        <v>433</v>
      </c>
      <c r="JGT47" s="32" t="s">
        <v>92</v>
      </c>
      <c r="JGU47" s="8" t="s">
        <v>132</v>
      </c>
      <c r="JGV47" s="22" t="s">
        <v>46</v>
      </c>
      <c r="JGW47" s="8" t="s">
        <v>433</v>
      </c>
      <c r="JGX47" s="32" t="s">
        <v>92</v>
      </c>
      <c r="JGY47" s="8" t="s">
        <v>132</v>
      </c>
      <c r="JGZ47" s="22" t="s">
        <v>46</v>
      </c>
      <c r="JHA47" s="8" t="s">
        <v>433</v>
      </c>
      <c r="JHB47" s="32" t="s">
        <v>92</v>
      </c>
      <c r="JHC47" s="8" t="s">
        <v>132</v>
      </c>
      <c r="JHD47" s="22" t="s">
        <v>46</v>
      </c>
      <c r="JHE47" s="8" t="s">
        <v>433</v>
      </c>
      <c r="JHF47" s="32" t="s">
        <v>92</v>
      </c>
      <c r="JHG47" s="8" t="s">
        <v>132</v>
      </c>
      <c r="JHH47" s="22" t="s">
        <v>46</v>
      </c>
      <c r="JHI47" s="8" t="s">
        <v>433</v>
      </c>
      <c r="JHJ47" s="32" t="s">
        <v>92</v>
      </c>
      <c r="JHK47" s="8" t="s">
        <v>132</v>
      </c>
      <c r="JHL47" s="22" t="s">
        <v>46</v>
      </c>
      <c r="JHM47" s="8" t="s">
        <v>433</v>
      </c>
      <c r="JHN47" s="32" t="s">
        <v>92</v>
      </c>
      <c r="JHO47" s="8" t="s">
        <v>132</v>
      </c>
      <c r="JHP47" s="22" t="s">
        <v>46</v>
      </c>
      <c r="JHQ47" s="8" t="s">
        <v>433</v>
      </c>
      <c r="JHR47" s="32" t="s">
        <v>92</v>
      </c>
      <c r="JHS47" s="8" t="s">
        <v>132</v>
      </c>
      <c r="JHT47" s="22" t="s">
        <v>46</v>
      </c>
      <c r="JHU47" s="8" t="s">
        <v>433</v>
      </c>
      <c r="JHV47" s="32" t="s">
        <v>92</v>
      </c>
      <c r="JHW47" s="8" t="s">
        <v>132</v>
      </c>
      <c r="JHX47" s="22" t="s">
        <v>46</v>
      </c>
      <c r="JHY47" s="8" t="s">
        <v>433</v>
      </c>
      <c r="JHZ47" s="32" t="s">
        <v>92</v>
      </c>
      <c r="JIA47" s="8" t="s">
        <v>132</v>
      </c>
      <c r="JIB47" s="22" t="s">
        <v>46</v>
      </c>
      <c r="JIC47" s="8" t="s">
        <v>433</v>
      </c>
      <c r="JID47" s="32" t="s">
        <v>92</v>
      </c>
      <c r="JIE47" s="8" t="s">
        <v>132</v>
      </c>
      <c r="JIF47" s="22" t="s">
        <v>46</v>
      </c>
      <c r="JIG47" s="8" t="s">
        <v>433</v>
      </c>
      <c r="JIH47" s="32" t="s">
        <v>92</v>
      </c>
      <c r="JII47" s="8" t="s">
        <v>132</v>
      </c>
      <c r="JIJ47" s="22" t="s">
        <v>46</v>
      </c>
      <c r="JIK47" s="8" t="s">
        <v>433</v>
      </c>
      <c r="JIL47" s="32" t="s">
        <v>92</v>
      </c>
      <c r="JIM47" s="8" t="s">
        <v>132</v>
      </c>
      <c r="JIN47" s="22" t="s">
        <v>46</v>
      </c>
      <c r="JIO47" s="8" t="s">
        <v>433</v>
      </c>
      <c r="JIP47" s="32" t="s">
        <v>92</v>
      </c>
      <c r="JIQ47" s="8" t="s">
        <v>132</v>
      </c>
      <c r="JIR47" s="22" t="s">
        <v>46</v>
      </c>
      <c r="JIS47" s="8" t="s">
        <v>433</v>
      </c>
      <c r="JIT47" s="32" t="s">
        <v>92</v>
      </c>
      <c r="JIU47" s="8" t="s">
        <v>132</v>
      </c>
      <c r="JIV47" s="22" t="s">
        <v>46</v>
      </c>
      <c r="JIW47" s="8" t="s">
        <v>433</v>
      </c>
      <c r="JIX47" s="32" t="s">
        <v>92</v>
      </c>
      <c r="JIY47" s="8" t="s">
        <v>132</v>
      </c>
      <c r="JIZ47" s="22" t="s">
        <v>46</v>
      </c>
      <c r="JJA47" s="8" t="s">
        <v>433</v>
      </c>
      <c r="JJB47" s="32" t="s">
        <v>92</v>
      </c>
      <c r="JJC47" s="8" t="s">
        <v>132</v>
      </c>
      <c r="JJD47" s="22" t="s">
        <v>46</v>
      </c>
      <c r="JJE47" s="8" t="s">
        <v>433</v>
      </c>
      <c r="JJF47" s="32" t="s">
        <v>92</v>
      </c>
      <c r="JJG47" s="8" t="s">
        <v>132</v>
      </c>
      <c r="JJH47" s="22" t="s">
        <v>46</v>
      </c>
      <c r="JJI47" s="8" t="s">
        <v>433</v>
      </c>
      <c r="JJJ47" s="32" t="s">
        <v>92</v>
      </c>
      <c r="JJK47" s="8" t="s">
        <v>132</v>
      </c>
      <c r="JJL47" s="22" t="s">
        <v>46</v>
      </c>
      <c r="JJM47" s="8" t="s">
        <v>433</v>
      </c>
      <c r="JJN47" s="32" t="s">
        <v>92</v>
      </c>
      <c r="JJO47" s="8" t="s">
        <v>132</v>
      </c>
      <c r="JJP47" s="22" t="s">
        <v>46</v>
      </c>
      <c r="JJQ47" s="8" t="s">
        <v>433</v>
      </c>
      <c r="JJR47" s="32" t="s">
        <v>92</v>
      </c>
      <c r="JJS47" s="8" t="s">
        <v>132</v>
      </c>
      <c r="JJT47" s="22" t="s">
        <v>46</v>
      </c>
      <c r="JJU47" s="8" t="s">
        <v>433</v>
      </c>
      <c r="JJV47" s="32" t="s">
        <v>92</v>
      </c>
      <c r="JJW47" s="8" t="s">
        <v>132</v>
      </c>
      <c r="JJX47" s="22" t="s">
        <v>46</v>
      </c>
      <c r="JJY47" s="8" t="s">
        <v>433</v>
      </c>
      <c r="JJZ47" s="32" t="s">
        <v>92</v>
      </c>
      <c r="JKA47" s="8" t="s">
        <v>132</v>
      </c>
      <c r="JKB47" s="22" t="s">
        <v>46</v>
      </c>
      <c r="JKC47" s="8" t="s">
        <v>433</v>
      </c>
      <c r="JKD47" s="32" t="s">
        <v>92</v>
      </c>
      <c r="JKE47" s="8" t="s">
        <v>132</v>
      </c>
      <c r="JKF47" s="22" t="s">
        <v>46</v>
      </c>
      <c r="JKG47" s="8" t="s">
        <v>433</v>
      </c>
      <c r="JKH47" s="32" t="s">
        <v>92</v>
      </c>
      <c r="JKI47" s="8" t="s">
        <v>132</v>
      </c>
      <c r="JKJ47" s="22" t="s">
        <v>46</v>
      </c>
      <c r="JKK47" s="8" t="s">
        <v>433</v>
      </c>
      <c r="JKL47" s="32" t="s">
        <v>92</v>
      </c>
      <c r="JKM47" s="8" t="s">
        <v>132</v>
      </c>
      <c r="JKN47" s="22" t="s">
        <v>46</v>
      </c>
      <c r="JKO47" s="8" t="s">
        <v>433</v>
      </c>
      <c r="JKP47" s="32" t="s">
        <v>92</v>
      </c>
      <c r="JKQ47" s="8" t="s">
        <v>132</v>
      </c>
      <c r="JKR47" s="22" t="s">
        <v>46</v>
      </c>
      <c r="JKS47" s="8" t="s">
        <v>433</v>
      </c>
      <c r="JKT47" s="32" t="s">
        <v>92</v>
      </c>
      <c r="JKU47" s="8" t="s">
        <v>132</v>
      </c>
      <c r="JKV47" s="22" t="s">
        <v>46</v>
      </c>
      <c r="JKW47" s="8" t="s">
        <v>433</v>
      </c>
      <c r="JKX47" s="32" t="s">
        <v>92</v>
      </c>
      <c r="JKY47" s="8" t="s">
        <v>132</v>
      </c>
      <c r="JKZ47" s="22" t="s">
        <v>46</v>
      </c>
      <c r="JLA47" s="8" t="s">
        <v>433</v>
      </c>
      <c r="JLB47" s="32" t="s">
        <v>92</v>
      </c>
      <c r="JLC47" s="8" t="s">
        <v>132</v>
      </c>
      <c r="JLD47" s="22" t="s">
        <v>46</v>
      </c>
      <c r="JLE47" s="8" t="s">
        <v>433</v>
      </c>
      <c r="JLF47" s="32" t="s">
        <v>92</v>
      </c>
      <c r="JLG47" s="8" t="s">
        <v>132</v>
      </c>
      <c r="JLH47" s="22" t="s">
        <v>46</v>
      </c>
      <c r="JLI47" s="8" t="s">
        <v>433</v>
      </c>
      <c r="JLJ47" s="32" t="s">
        <v>92</v>
      </c>
      <c r="JLK47" s="8" t="s">
        <v>132</v>
      </c>
      <c r="JLL47" s="22" t="s">
        <v>46</v>
      </c>
      <c r="JLM47" s="8" t="s">
        <v>433</v>
      </c>
      <c r="JLN47" s="32" t="s">
        <v>92</v>
      </c>
      <c r="JLO47" s="8" t="s">
        <v>132</v>
      </c>
      <c r="JLP47" s="22" t="s">
        <v>46</v>
      </c>
      <c r="JLQ47" s="8" t="s">
        <v>433</v>
      </c>
      <c r="JLR47" s="32" t="s">
        <v>92</v>
      </c>
      <c r="JLS47" s="8" t="s">
        <v>132</v>
      </c>
      <c r="JLT47" s="22" t="s">
        <v>46</v>
      </c>
      <c r="JLU47" s="8" t="s">
        <v>433</v>
      </c>
      <c r="JLV47" s="32" t="s">
        <v>92</v>
      </c>
      <c r="JLW47" s="8" t="s">
        <v>132</v>
      </c>
      <c r="JLX47" s="22" t="s">
        <v>46</v>
      </c>
      <c r="JLY47" s="8" t="s">
        <v>433</v>
      </c>
      <c r="JLZ47" s="32" t="s">
        <v>92</v>
      </c>
      <c r="JMA47" s="8" t="s">
        <v>132</v>
      </c>
      <c r="JMB47" s="22" t="s">
        <v>46</v>
      </c>
      <c r="JMC47" s="8" t="s">
        <v>433</v>
      </c>
      <c r="JMD47" s="32" t="s">
        <v>92</v>
      </c>
      <c r="JME47" s="8" t="s">
        <v>132</v>
      </c>
      <c r="JMF47" s="22" t="s">
        <v>46</v>
      </c>
      <c r="JMG47" s="8" t="s">
        <v>433</v>
      </c>
      <c r="JMH47" s="32" t="s">
        <v>92</v>
      </c>
      <c r="JMI47" s="8" t="s">
        <v>132</v>
      </c>
      <c r="JMJ47" s="22" t="s">
        <v>46</v>
      </c>
      <c r="JMK47" s="8" t="s">
        <v>433</v>
      </c>
      <c r="JML47" s="32" t="s">
        <v>92</v>
      </c>
      <c r="JMM47" s="8" t="s">
        <v>132</v>
      </c>
      <c r="JMN47" s="22" t="s">
        <v>46</v>
      </c>
      <c r="JMO47" s="8" t="s">
        <v>433</v>
      </c>
      <c r="JMP47" s="32" t="s">
        <v>92</v>
      </c>
      <c r="JMQ47" s="8" t="s">
        <v>132</v>
      </c>
      <c r="JMR47" s="22" t="s">
        <v>46</v>
      </c>
      <c r="JMS47" s="8" t="s">
        <v>433</v>
      </c>
      <c r="JMT47" s="32" t="s">
        <v>92</v>
      </c>
      <c r="JMU47" s="8" t="s">
        <v>132</v>
      </c>
      <c r="JMV47" s="22" t="s">
        <v>46</v>
      </c>
      <c r="JMW47" s="8" t="s">
        <v>433</v>
      </c>
      <c r="JMX47" s="32" t="s">
        <v>92</v>
      </c>
      <c r="JMY47" s="8" t="s">
        <v>132</v>
      </c>
      <c r="JMZ47" s="22" t="s">
        <v>46</v>
      </c>
      <c r="JNA47" s="8" t="s">
        <v>433</v>
      </c>
      <c r="JNB47" s="32" t="s">
        <v>92</v>
      </c>
      <c r="JNC47" s="8" t="s">
        <v>132</v>
      </c>
      <c r="JND47" s="22" t="s">
        <v>46</v>
      </c>
      <c r="JNE47" s="8" t="s">
        <v>433</v>
      </c>
      <c r="JNF47" s="32" t="s">
        <v>92</v>
      </c>
      <c r="JNG47" s="8" t="s">
        <v>132</v>
      </c>
      <c r="JNH47" s="22" t="s">
        <v>46</v>
      </c>
      <c r="JNI47" s="8" t="s">
        <v>433</v>
      </c>
      <c r="JNJ47" s="32" t="s">
        <v>92</v>
      </c>
      <c r="JNK47" s="8" t="s">
        <v>132</v>
      </c>
      <c r="JNL47" s="22" t="s">
        <v>46</v>
      </c>
      <c r="JNM47" s="8" t="s">
        <v>433</v>
      </c>
      <c r="JNN47" s="32" t="s">
        <v>92</v>
      </c>
      <c r="JNO47" s="8" t="s">
        <v>132</v>
      </c>
      <c r="JNP47" s="22" t="s">
        <v>46</v>
      </c>
      <c r="JNQ47" s="8" t="s">
        <v>433</v>
      </c>
      <c r="JNR47" s="32" t="s">
        <v>92</v>
      </c>
      <c r="JNS47" s="8" t="s">
        <v>132</v>
      </c>
      <c r="JNT47" s="22" t="s">
        <v>46</v>
      </c>
      <c r="JNU47" s="8" t="s">
        <v>433</v>
      </c>
      <c r="JNV47" s="32" t="s">
        <v>92</v>
      </c>
      <c r="JNW47" s="8" t="s">
        <v>132</v>
      </c>
      <c r="JNX47" s="22" t="s">
        <v>46</v>
      </c>
      <c r="JNY47" s="8" t="s">
        <v>433</v>
      </c>
      <c r="JNZ47" s="32" t="s">
        <v>92</v>
      </c>
      <c r="JOA47" s="8" t="s">
        <v>132</v>
      </c>
      <c r="JOB47" s="22" t="s">
        <v>46</v>
      </c>
      <c r="JOC47" s="8" t="s">
        <v>433</v>
      </c>
      <c r="JOD47" s="32" t="s">
        <v>92</v>
      </c>
      <c r="JOE47" s="8" t="s">
        <v>132</v>
      </c>
      <c r="JOF47" s="22" t="s">
        <v>46</v>
      </c>
      <c r="JOG47" s="8" t="s">
        <v>433</v>
      </c>
      <c r="JOH47" s="32" t="s">
        <v>92</v>
      </c>
      <c r="JOI47" s="8" t="s">
        <v>132</v>
      </c>
      <c r="JOJ47" s="22" t="s">
        <v>46</v>
      </c>
      <c r="JOK47" s="8" t="s">
        <v>433</v>
      </c>
      <c r="JOL47" s="32" t="s">
        <v>92</v>
      </c>
      <c r="JOM47" s="8" t="s">
        <v>132</v>
      </c>
      <c r="JON47" s="22" t="s">
        <v>46</v>
      </c>
      <c r="JOO47" s="8" t="s">
        <v>433</v>
      </c>
      <c r="JOP47" s="32" t="s">
        <v>92</v>
      </c>
      <c r="JOQ47" s="8" t="s">
        <v>132</v>
      </c>
      <c r="JOR47" s="22" t="s">
        <v>46</v>
      </c>
      <c r="JOS47" s="8" t="s">
        <v>433</v>
      </c>
      <c r="JOT47" s="32" t="s">
        <v>92</v>
      </c>
      <c r="JOU47" s="8" t="s">
        <v>132</v>
      </c>
      <c r="JOV47" s="22" t="s">
        <v>46</v>
      </c>
      <c r="JOW47" s="8" t="s">
        <v>433</v>
      </c>
      <c r="JOX47" s="32" t="s">
        <v>92</v>
      </c>
      <c r="JOY47" s="8" t="s">
        <v>132</v>
      </c>
      <c r="JOZ47" s="22" t="s">
        <v>46</v>
      </c>
      <c r="JPA47" s="8" t="s">
        <v>433</v>
      </c>
      <c r="JPB47" s="32" t="s">
        <v>92</v>
      </c>
      <c r="JPC47" s="8" t="s">
        <v>132</v>
      </c>
      <c r="JPD47" s="22" t="s">
        <v>46</v>
      </c>
      <c r="JPE47" s="8" t="s">
        <v>433</v>
      </c>
      <c r="JPF47" s="32" t="s">
        <v>92</v>
      </c>
      <c r="JPG47" s="8" t="s">
        <v>132</v>
      </c>
      <c r="JPH47" s="22" t="s">
        <v>46</v>
      </c>
      <c r="JPI47" s="8" t="s">
        <v>433</v>
      </c>
      <c r="JPJ47" s="32" t="s">
        <v>92</v>
      </c>
      <c r="JPK47" s="8" t="s">
        <v>132</v>
      </c>
      <c r="JPL47" s="22" t="s">
        <v>46</v>
      </c>
      <c r="JPM47" s="8" t="s">
        <v>433</v>
      </c>
      <c r="JPN47" s="32" t="s">
        <v>92</v>
      </c>
      <c r="JPO47" s="8" t="s">
        <v>132</v>
      </c>
      <c r="JPP47" s="22" t="s">
        <v>46</v>
      </c>
      <c r="JPQ47" s="8" t="s">
        <v>433</v>
      </c>
      <c r="JPR47" s="32" t="s">
        <v>92</v>
      </c>
      <c r="JPS47" s="8" t="s">
        <v>132</v>
      </c>
      <c r="JPT47" s="22" t="s">
        <v>46</v>
      </c>
      <c r="JPU47" s="8" t="s">
        <v>433</v>
      </c>
      <c r="JPV47" s="32" t="s">
        <v>92</v>
      </c>
      <c r="JPW47" s="8" t="s">
        <v>132</v>
      </c>
      <c r="JPX47" s="22" t="s">
        <v>46</v>
      </c>
      <c r="JPY47" s="8" t="s">
        <v>433</v>
      </c>
      <c r="JPZ47" s="32" t="s">
        <v>92</v>
      </c>
      <c r="JQA47" s="8" t="s">
        <v>132</v>
      </c>
      <c r="JQB47" s="22" t="s">
        <v>46</v>
      </c>
      <c r="JQC47" s="8" t="s">
        <v>433</v>
      </c>
      <c r="JQD47" s="32" t="s">
        <v>92</v>
      </c>
      <c r="JQE47" s="8" t="s">
        <v>132</v>
      </c>
      <c r="JQF47" s="22" t="s">
        <v>46</v>
      </c>
      <c r="JQG47" s="8" t="s">
        <v>433</v>
      </c>
      <c r="JQH47" s="32" t="s">
        <v>92</v>
      </c>
      <c r="JQI47" s="8" t="s">
        <v>132</v>
      </c>
      <c r="JQJ47" s="22" t="s">
        <v>46</v>
      </c>
      <c r="JQK47" s="8" t="s">
        <v>433</v>
      </c>
      <c r="JQL47" s="32" t="s">
        <v>92</v>
      </c>
      <c r="JQM47" s="8" t="s">
        <v>132</v>
      </c>
      <c r="JQN47" s="22" t="s">
        <v>46</v>
      </c>
      <c r="JQO47" s="8" t="s">
        <v>433</v>
      </c>
      <c r="JQP47" s="32" t="s">
        <v>92</v>
      </c>
      <c r="JQQ47" s="8" t="s">
        <v>132</v>
      </c>
      <c r="JQR47" s="22" t="s">
        <v>46</v>
      </c>
      <c r="JQS47" s="8" t="s">
        <v>433</v>
      </c>
      <c r="JQT47" s="32" t="s">
        <v>92</v>
      </c>
      <c r="JQU47" s="8" t="s">
        <v>132</v>
      </c>
      <c r="JQV47" s="22" t="s">
        <v>46</v>
      </c>
      <c r="JQW47" s="8" t="s">
        <v>433</v>
      </c>
      <c r="JQX47" s="32" t="s">
        <v>92</v>
      </c>
      <c r="JQY47" s="8" t="s">
        <v>132</v>
      </c>
      <c r="JQZ47" s="22" t="s">
        <v>46</v>
      </c>
      <c r="JRA47" s="8" t="s">
        <v>433</v>
      </c>
      <c r="JRB47" s="32" t="s">
        <v>92</v>
      </c>
      <c r="JRC47" s="8" t="s">
        <v>132</v>
      </c>
      <c r="JRD47" s="22" t="s">
        <v>46</v>
      </c>
      <c r="JRE47" s="8" t="s">
        <v>433</v>
      </c>
      <c r="JRF47" s="32" t="s">
        <v>92</v>
      </c>
      <c r="JRG47" s="8" t="s">
        <v>132</v>
      </c>
      <c r="JRH47" s="22" t="s">
        <v>46</v>
      </c>
      <c r="JRI47" s="8" t="s">
        <v>433</v>
      </c>
      <c r="JRJ47" s="32" t="s">
        <v>92</v>
      </c>
      <c r="JRK47" s="8" t="s">
        <v>132</v>
      </c>
      <c r="JRL47" s="22" t="s">
        <v>46</v>
      </c>
      <c r="JRM47" s="8" t="s">
        <v>433</v>
      </c>
      <c r="JRN47" s="32" t="s">
        <v>92</v>
      </c>
      <c r="JRO47" s="8" t="s">
        <v>132</v>
      </c>
      <c r="JRP47" s="22" t="s">
        <v>46</v>
      </c>
      <c r="JRQ47" s="8" t="s">
        <v>433</v>
      </c>
      <c r="JRR47" s="32" t="s">
        <v>92</v>
      </c>
      <c r="JRS47" s="8" t="s">
        <v>132</v>
      </c>
      <c r="JRT47" s="22" t="s">
        <v>46</v>
      </c>
      <c r="JRU47" s="8" t="s">
        <v>433</v>
      </c>
      <c r="JRV47" s="32" t="s">
        <v>92</v>
      </c>
      <c r="JRW47" s="8" t="s">
        <v>132</v>
      </c>
      <c r="JRX47" s="22" t="s">
        <v>46</v>
      </c>
      <c r="JRY47" s="8" t="s">
        <v>433</v>
      </c>
      <c r="JRZ47" s="32" t="s">
        <v>92</v>
      </c>
      <c r="JSA47" s="8" t="s">
        <v>132</v>
      </c>
      <c r="JSB47" s="22" t="s">
        <v>46</v>
      </c>
      <c r="JSC47" s="8" t="s">
        <v>433</v>
      </c>
      <c r="JSD47" s="32" t="s">
        <v>92</v>
      </c>
      <c r="JSE47" s="8" t="s">
        <v>132</v>
      </c>
      <c r="JSF47" s="22" t="s">
        <v>46</v>
      </c>
      <c r="JSG47" s="8" t="s">
        <v>433</v>
      </c>
      <c r="JSH47" s="32" t="s">
        <v>92</v>
      </c>
      <c r="JSI47" s="8" t="s">
        <v>132</v>
      </c>
      <c r="JSJ47" s="22" t="s">
        <v>46</v>
      </c>
      <c r="JSK47" s="8" t="s">
        <v>433</v>
      </c>
      <c r="JSL47" s="32" t="s">
        <v>92</v>
      </c>
      <c r="JSM47" s="8" t="s">
        <v>132</v>
      </c>
      <c r="JSN47" s="22" t="s">
        <v>46</v>
      </c>
      <c r="JSO47" s="8" t="s">
        <v>433</v>
      </c>
      <c r="JSP47" s="32" t="s">
        <v>92</v>
      </c>
      <c r="JSQ47" s="8" t="s">
        <v>132</v>
      </c>
      <c r="JSR47" s="22" t="s">
        <v>46</v>
      </c>
      <c r="JSS47" s="8" t="s">
        <v>433</v>
      </c>
      <c r="JST47" s="32" t="s">
        <v>92</v>
      </c>
      <c r="JSU47" s="8" t="s">
        <v>132</v>
      </c>
      <c r="JSV47" s="22" t="s">
        <v>46</v>
      </c>
      <c r="JSW47" s="8" t="s">
        <v>433</v>
      </c>
      <c r="JSX47" s="32" t="s">
        <v>92</v>
      </c>
      <c r="JSY47" s="8" t="s">
        <v>132</v>
      </c>
      <c r="JSZ47" s="22" t="s">
        <v>46</v>
      </c>
      <c r="JTA47" s="8" t="s">
        <v>433</v>
      </c>
      <c r="JTB47" s="32" t="s">
        <v>92</v>
      </c>
      <c r="JTC47" s="8" t="s">
        <v>132</v>
      </c>
      <c r="JTD47" s="22" t="s">
        <v>46</v>
      </c>
      <c r="JTE47" s="8" t="s">
        <v>433</v>
      </c>
      <c r="JTF47" s="32" t="s">
        <v>92</v>
      </c>
      <c r="JTG47" s="8" t="s">
        <v>132</v>
      </c>
      <c r="JTH47" s="22" t="s">
        <v>46</v>
      </c>
      <c r="JTI47" s="8" t="s">
        <v>433</v>
      </c>
      <c r="JTJ47" s="32" t="s">
        <v>92</v>
      </c>
      <c r="JTK47" s="8" t="s">
        <v>132</v>
      </c>
      <c r="JTL47" s="22" t="s">
        <v>46</v>
      </c>
      <c r="JTM47" s="8" t="s">
        <v>433</v>
      </c>
      <c r="JTN47" s="32" t="s">
        <v>92</v>
      </c>
      <c r="JTO47" s="8" t="s">
        <v>132</v>
      </c>
      <c r="JTP47" s="22" t="s">
        <v>46</v>
      </c>
      <c r="JTQ47" s="8" t="s">
        <v>433</v>
      </c>
      <c r="JTR47" s="32" t="s">
        <v>92</v>
      </c>
      <c r="JTS47" s="8" t="s">
        <v>132</v>
      </c>
      <c r="JTT47" s="22" t="s">
        <v>46</v>
      </c>
      <c r="JTU47" s="8" t="s">
        <v>433</v>
      </c>
      <c r="JTV47" s="32" t="s">
        <v>92</v>
      </c>
      <c r="JTW47" s="8" t="s">
        <v>132</v>
      </c>
      <c r="JTX47" s="22" t="s">
        <v>46</v>
      </c>
      <c r="JTY47" s="8" t="s">
        <v>433</v>
      </c>
      <c r="JTZ47" s="32" t="s">
        <v>92</v>
      </c>
      <c r="JUA47" s="8" t="s">
        <v>132</v>
      </c>
      <c r="JUB47" s="22" t="s">
        <v>46</v>
      </c>
      <c r="JUC47" s="8" t="s">
        <v>433</v>
      </c>
      <c r="JUD47" s="32" t="s">
        <v>92</v>
      </c>
      <c r="JUE47" s="8" t="s">
        <v>132</v>
      </c>
      <c r="JUF47" s="22" t="s">
        <v>46</v>
      </c>
      <c r="JUG47" s="8" t="s">
        <v>433</v>
      </c>
      <c r="JUH47" s="32" t="s">
        <v>92</v>
      </c>
      <c r="JUI47" s="8" t="s">
        <v>132</v>
      </c>
      <c r="JUJ47" s="22" t="s">
        <v>46</v>
      </c>
      <c r="JUK47" s="8" t="s">
        <v>433</v>
      </c>
      <c r="JUL47" s="32" t="s">
        <v>92</v>
      </c>
      <c r="JUM47" s="8" t="s">
        <v>132</v>
      </c>
      <c r="JUN47" s="22" t="s">
        <v>46</v>
      </c>
      <c r="JUO47" s="8" t="s">
        <v>433</v>
      </c>
      <c r="JUP47" s="32" t="s">
        <v>92</v>
      </c>
      <c r="JUQ47" s="8" t="s">
        <v>132</v>
      </c>
      <c r="JUR47" s="22" t="s">
        <v>46</v>
      </c>
      <c r="JUS47" s="8" t="s">
        <v>433</v>
      </c>
      <c r="JUT47" s="32" t="s">
        <v>92</v>
      </c>
      <c r="JUU47" s="8" t="s">
        <v>132</v>
      </c>
      <c r="JUV47" s="22" t="s">
        <v>46</v>
      </c>
      <c r="JUW47" s="8" t="s">
        <v>433</v>
      </c>
      <c r="JUX47" s="32" t="s">
        <v>92</v>
      </c>
      <c r="JUY47" s="8" t="s">
        <v>132</v>
      </c>
      <c r="JUZ47" s="22" t="s">
        <v>46</v>
      </c>
      <c r="JVA47" s="8" t="s">
        <v>433</v>
      </c>
      <c r="JVB47" s="32" t="s">
        <v>92</v>
      </c>
      <c r="JVC47" s="8" t="s">
        <v>132</v>
      </c>
      <c r="JVD47" s="22" t="s">
        <v>46</v>
      </c>
      <c r="JVE47" s="8" t="s">
        <v>433</v>
      </c>
      <c r="JVF47" s="32" t="s">
        <v>92</v>
      </c>
      <c r="JVG47" s="8" t="s">
        <v>132</v>
      </c>
      <c r="JVH47" s="22" t="s">
        <v>46</v>
      </c>
      <c r="JVI47" s="8" t="s">
        <v>433</v>
      </c>
      <c r="JVJ47" s="32" t="s">
        <v>92</v>
      </c>
      <c r="JVK47" s="8" t="s">
        <v>132</v>
      </c>
      <c r="JVL47" s="22" t="s">
        <v>46</v>
      </c>
      <c r="JVM47" s="8" t="s">
        <v>433</v>
      </c>
      <c r="JVN47" s="32" t="s">
        <v>92</v>
      </c>
      <c r="JVO47" s="8" t="s">
        <v>132</v>
      </c>
      <c r="JVP47" s="22" t="s">
        <v>46</v>
      </c>
      <c r="JVQ47" s="8" t="s">
        <v>433</v>
      </c>
      <c r="JVR47" s="32" t="s">
        <v>92</v>
      </c>
      <c r="JVS47" s="8" t="s">
        <v>132</v>
      </c>
      <c r="JVT47" s="22" t="s">
        <v>46</v>
      </c>
      <c r="JVU47" s="8" t="s">
        <v>433</v>
      </c>
      <c r="JVV47" s="32" t="s">
        <v>92</v>
      </c>
      <c r="JVW47" s="8" t="s">
        <v>132</v>
      </c>
      <c r="JVX47" s="22" t="s">
        <v>46</v>
      </c>
      <c r="JVY47" s="8" t="s">
        <v>433</v>
      </c>
      <c r="JVZ47" s="32" t="s">
        <v>92</v>
      </c>
      <c r="JWA47" s="8" t="s">
        <v>132</v>
      </c>
      <c r="JWB47" s="22" t="s">
        <v>46</v>
      </c>
      <c r="JWC47" s="8" t="s">
        <v>433</v>
      </c>
      <c r="JWD47" s="32" t="s">
        <v>92</v>
      </c>
      <c r="JWE47" s="8" t="s">
        <v>132</v>
      </c>
      <c r="JWF47" s="22" t="s">
        <v>46</v>
      </c>
      <c r="JWG47" s="8" t="s">
        <v>433</v>
      </c>
      <c r="JWH47" s="32" t="s">
        <v>92</v>
      </c>
      <c r="JWI47" s="8" t="s">
        <v>132</v>
      </c>
      <c r="JWJ47" s="22" t="s">
        <v>46</v>
      </c>
      <c r="JWK47" s="8" t="s">
        <v>433</v>
      </c>
      <c r="JWL47" s="32" t="s">
        <v>92</v>
      </c>
      <c r="JWM47" s="8" t="s">
        <v>132</v>
      </c>
      <c r="JWN47" s="22" t="s">
        <v>46</v>
      </c>
      <c r="JWO47" s="8" t="s">
        <v>433</v>
      </c>
      <c r="JWP47" s="32" t="s">
        <v>92</v>
      </c>
      <c r="JWQ47" s="8" t="s">
        <v>132</v>
      </c>
      <c r="JWR47" s="22" t="s">
        <v>46</v>
      </c>
      <c r="JWS47" s="8" t="s">
        <v>433</v>
      </c>
      <c r="JWT47" s="32" t="s">
        <v>92</v>
      </c>
      <c r="JWU47" s="8" t="s">
        <v>132</v>
      </c>
      <c r="JWV47" s="22" t="s">
        <v>46</v>
      </c>
      <c r="JWW47" s="8" t="s">
        <v>433</v>
      </c>
      <c r="JWX47" s="32" t="s">
        <v>92</v>
      </c>
      <c r="JWY47" s="8" t="s">
        <v>132</v>
      </c>
      <c r="JWZ47" s="22" t="s">
        <v>46</v>
      </c>
      <c r="JXA47" s="8" t="s">
        <v>433</v>
      </c>
      <c r="JXB47" s="32" t="s">
        <v>92</v>
      </c>
      <c r="JXC47" s="8" t="s">
        <v>132</v>
      </c>
      <c r="JXD47" s="22" t="s">
        <v>46</v>
      </c>
      <c r="JXE47" s="8" t="s">
        <v>433</v>
      </c>
      <c r="JXF47" s="32" t="s">
        <v>92</v>
      </c>
      <c r="JXG47" s="8" t="s">
        <v>132</v>
      </c>
      <c r="JXH47" s="22" t="s">
        <v>46</v>
      </c>
      <c r="JXI47" s="8" t="s">
        <v>433</v>
      </c>
      <c r="JXJ47" s="32" t="s">
        <v>92</v>
      </c>
      <c r="JXK47" s="8" t="s">
        <v>132</v>
      </c>
      <c r="JXL47" s="22" t="s">
        <v>46</v>
      </c>
      <c r="JXM47" s="8" t="s">
        <v>433</v>
      </c>
      <c r="JXN47" s="32" t="s">
        <v>92</v>
      </c>
      <c r="JXO47" s="8" t="s">
        <v>132</v>
      </c>
      <c r="JXP47" s="22" t="s">
        <v>46</v>
      </c>
      <c r="JXQ47" s="8" t="s">
        <v>433</v>
      </c>
      <c r="JXR47" s="32" t="s">
        <v>92</v>
      </c>
      <c r="JXS47" s="8" t="s">
        <v>132</v>
      </c>
      <c r="JXT47" s="22" t="s">
        <v>46</v>
      </c>
      <c r="JXU47" s="8" t="s">
        <v>433</v>
      </c>
      <c r="JXV47" s="32" t="s">
        <v>92</v>
      </c>
      <c r="JXW47" s="8" t="s">
        <v>132</v>
      </c>
      <c r="JXX47" s="22" t="s">
        <v>46</v>
      </c>
      <c r="JXY47" s="8" t="s">
        <v>433</v>
      </c>
      <c r="JXZ47" s="32" t="s">
        <v>92</v>
      </c>
      <c r="JYA47" s="8" t="s">
        <v>132</v>
      </c>
      <c r="JYB47" s="22" t="s">
        <v>46</v>
      </c>
      <c r="JYC47" s="8" t="s">
        <v>433</v>
      </c>
      <c r="JYD47" s="32" t="s">
        <v>92</v>
      </c>
      <c r="JYE47" s="8" t="s">
        <v>132</v>
      </c>
      <c r="JYF47" s="22" t="s">
        <v>46</v>
      </c>
      <c r="JYG47" s="8" t="s">
        <v>433</v>
      </c>
      <c r="JYH47" s="32" t="s">
        <v>92</v>
      </c>
      <c r="JYI47" s="8" t="s">
        <v>132</v>
      </c>
      <c r="JYJ47" s="22" t="s">
        <v>46</v>
      </c>
      <c r="JYK47" s="8" t="s">
        <v>433</v>
      </c>
      <c r="JYL47" s="32" t="s">
        <v>92</v>
      </c>
      <c r="JYM47" s="8" t="s">
        <v>132</v>
      </c>
      <c r="JYN47" s="22" t="s">
        <v>46</v>
      </c>
      <c r="JYO47" s="8" t="s">
        <v>433</v>
      </c>
      <c r="JYP47" s="32" t="s">
        <v>92</v>
      </c>
      <c r="JYQ47" s="8" t="s">
        <v>132</v>
      </c>
      <c r="JYR47" s="22" t="s">
        <v>46</v>
      </c>
      <c r="JYS47" s="8" t="s">
        <v>433</v>
      </c>
      <c r="JYT47" s="32" t="s">
        <v>92</v>
      </c>
      <c r="JYU47" s="8" t="s">
        <v>132</v>
      </c>
      <c r="JYV47" s="22" t="s">
        <v>46</v>
      </c>
      <c r="JYW47" s="8" t="s">
        <v>433</v>
      </c>
      <c r="JYX47" s="32" t="s">
        <v>92</v>
      </c>
      <c r="JYY47" s="8" t="s">
        <v>132</v>
      </c>
      <c r="JYZ47" s="22" t="s">
        <v>46</v>
      </c>
      <c r="JZA47" s="8" t="s">
        <v>433</v>
      </c>
      <c r="JZB47" s="32" t="s">
        <v>92</v>
      </c>
      <c r="JZC47" s="8" t="s">
        <v>132</v>
      </c>
      <c r="JZD47" s="22" t="s">
        <v>46</v>
      </c>
      <c r="JZE47" s="8" t="s">
        <v>433</v>
      </c>
      <c r="JZF47" s="32" t="s">
        <v>92</v>
      </c>
      <c r="JZG47" s="8" t="s">
        <v>132</v>
      </c>
      <c r="JZH47" s="22" t="s">
        <v>46</v>
      </c>
      <c r="JZI47" s="8" t="s">
        <v>433</v>
      </c>
      <c r="JZJ47" s="32" t="s">
        <v>92</v>
      </c>
      <c r="JZK47" s="8" t="s">
        <v>132</v>
      </c>
      <c r="JZL47" s="22" t="s">
        <v>46</v>
      </c>
      <c r="JZM47" s="8" t="s">
        <v>433</v>
      </c>
      <c r="JZN47" s="32" t="s">
        <v>92</v>
      </c>
      <c r="JZO47" s="8" t="s">
        <v>132</v>
      </c>
      <c r="JZP47" s="22" t="s">
        <v>46</v>
      </c>
      <c r="JZQ47" s="8" t="s">
        <v>433</v>
      </c>
      <c r="JZR47" s="32" t="s">
        <v>92</v>
      </c>
      <c r="JZS47" s="8" t="s">
        <v>132</v>
      </c>
      <c r="JZT47" s="22" t="s">
        <v>46</v>
      </c>
      <c r="JZU47" s="8" t="s">
        <v>433</v>
      </c>
      <c r="JZV47" s="32" t="s">
        <v>92</v>
      </c>
      <c r="JZW47" s="8" t="s">
        <v>132</v>
      </c>
      <c r="JZX47" s="22" t="s">
        <v>46</v>
      </c>
      <c r="JZY47" s="8" t="s">
        <v>433</v>
      </c>
      <c r="JZZ47" s="32" t="s">
        <v>92</v>
      </c>
      <c r="KAA47" s="8" t="s">
        <v>132</v>
      </c>
      <c r="KAB47" s="22" t="s">
        <v>46</v>
      </c>
      <c r="KAC47" s="8" t="s">
        <v>433</v>
      </c>
      <c r="KAD47" s="32" t="s">
        <v>92</v>
      </c>
      <c r="KAE47" s="8" t="s">
        <v>132</v>
      </c>
      <c r="KAF47" s="22" t="s">
        <v>46</v>
      </c>
      <c r="KAG47" s="8" t="s">
        <v>433</v>
      </c>
      <c r="KAH47" s="32" t="s">
        <v>92</v>
      </c>
      <c r="KAI47" s="8" t="s">
        <v>132</v>
      </c>
      <c r="KAJ47" s="22" t="s">
        <v>46</v>
      </c>
      <c r="KAK47" s="8" t="s">
        <v>433</v>
      </c>
      <c r="KAL47" s="32" t="s">
        <v>92</v>
      </c>
      <c r="KAM47" s="8" t="s">
        <v>132</v>
      </c>
      <c r="KAN47" s="22" t="s">
        <v>46</v>
      </c>
      <c r="KAO47" s="8" t="s">
        <v>433</v>
      </c>
      <c r="KAP47" s="32" t="s">
        <v>92</v>
      </c>
      <c r="KAQ47" s="8" t="s">
        <v>132</v>
      </c>
      <c r="KAR47" s="22" t="s">
        <v>46</v>
      </c>
      <c r="KAS47" s="8" t="s">
        <v>433</v>
      </c>
      <c r="KAT47" s="32" t="s">
        <v>92</v>
      </c>
      <c r="KAU47" s="8" t="s">
        <v>132</v>
      </c>
      <c r="KAV47" s="22" t="s">
        <v>46</v>
      </c>
      <c r="KAW47" s="8" t="s">
        <v>433</v>
      </c>
      <c r="KAX47" s="32" t="s">
        <v>92</v>
      </c>
      <c r="KAY47" s="8" t="s">
        <v>132</v>
      </c>
      <c r="KAZ47" s="22" t="s">
        <v>46</v>
      </c>
      <c r="KBA47" s="8" t="s">
        <v>433</v>
      </c>
      <c r="KBB47" s="32" t="s">
        <v>92</v>
      </c>
      <c r="KBC47" s="8" t="s">
        <v>132</v>
      </c>
      <c r="KBD47" s="22" t="s">
        <v>46</v>
      </c>
      <c r="KBE47" s="8" t="s">
        <v>433</v>
      </c>
      <c r="KBF47" s="32" t="s">
        <v>92</v>
      </c>
      <c r="KBG47" s="8" t="s">
        <v>132</v>
      </c>
      <c r="KBH47" s="22" t="s">
        <v>46</v>
      </c>
      <c r="KBI47" s="8" t="s">
        <v>433</v>
      </c>
      <c r="KBJ47" s="32" t="s">
        <v>92</v>
      </c>
      <c r="KBK47" s="8" t="s">
        <v>132</v>
      </c>
      <c r="KBL47" s="22" t="s">
        <v>46</v>
      </c>
      <c r="KBM47" s="8" t="s">
        <v>433</v>
      </c>
      <c r="KBN47" s="32" t="s">
        <v>92</v>
      </c>
      <c r="KBO47" s="8" t="s">
        <v>132</v>
      </c>
      <c r="KBP47" s="22" t="s">
        <v>46</v>
      </c>
      <c r="KBQ47" s="8" t="s">
        <v>433</v>
      </c>
      <c r="KBR47" s="32" t="s">
        <v>92</v>
      </c>
      <c r="KBS47" s="8" t="s">
        <v>132</v>
      </c>
      <c r="KBT47" s="22" t="s">
        <v>46</v>
      </c>
      <c r="KBU47" s="8" t="s">
        <v>433</v>
      </c>
      <c r="KBV47" s="32" t="s">
        <v>92</v>
      </c>
      <c r="KBW47" s="8" t="s">
        <v>132</v>
      </c>
      <c r="KBX47" s="22" t="s">
        <v>46</v>
      </c>
      <c r="KBY47" s="8" t="s">
        <v>433</v>
      </c>
      <c r="KBZ47" s="32" t="s">
        <v>92</v>
      </c>
      <c r="KCA47" s="8" t="s">
        <v>132</v>
      </c>
      <c r="KCB47" s="22" t="s">
        <v>46</v>
      </c>
      <c r="KCC47" s="8" t="s">
        <v>433</v>
      </c>
      <c r="KCD47" s="32" t="s">
        <v>92</v>
      </c>
      <c r="KCE47" s="8" t="s">
        <v>132</v>
      </c>
      <c r="KCF47" s="22" t="s">
        <v>46</v>
      </c>
      <c r="KCG47" s="8" t="s">
        <v>433</v>
      </c>
      <c r="KCH47" s="32" t="s">
        <v>92</v>
      </c>
      <c r="KCI47" s="8" t="s">
        <v>132</v>
      </c>
      <c r="KCJ47" s="22" t="s">
        <v>46</v>
      </c>
      <c r="KCK47" s="8" t="s">
        <v>433</v>
      </c>
      <c r="KCL47" s="32" t="s">
        <v>92</v>
      </c>
      <c r="KCM47" s="8" t="s">
        <v>132</v>
      </c>
      <c r="KCN47" s="22" t="s">
        <v>46</v>
      </c>
      <c r="KCO47" s="8" t="s">
        <v>433</v>
      </c>
      <c r="KCP47" s="32" t="s">
        <v>92</v>
      </c>
      <c r="KCQ47" s="8" t="s">
        <v>132</v>
      </c>
      <c r="KCR47" s="22" t="s">
        <v>46</v>
      </c>
      <c r="KCS47" s="8" t="s">
        <v>433</v>
      </c>
      <c r="KCT47" s="32" t="s">
        <v>92</v>
      </c>
      <c r="KCU47" s="8" t="s">
        <v>132</v>
      </c>
      <c r="KCV47" s="22" t="s">
        <v>46</v>
      </c>
      <c r="KCW47" s="8" t="s">
        <v>433</v>
      </c>
      <c r="KCX47" s="32" t="s">
        <v>92</v>
      </c>
      <c r="KCY47" s="8" t="s">
        <v>132</v>
      </c>
      <c r="KCZ47" s="22" t="s">
        <v>46</v>
      </c>
      <c r="KDA47" s="8" t="s">
        <v>433</v>
      </c>
      <c r="KDB47" s="32" t="s">
        <v>92</v>
      </c>
      <c r="KDC47" s="8" t="s">
        <v>132</v>
      </c>
      <c r="KDD47" s="22" t="s">
        <v>46</v>
      </c>
      <c r="KDE47" s="8" t="s">
        <v>433</v>
      </c>
      <c r="KDF47" s="32" t="s">
        <v>92</v>
      </c>
      <c r="KDG47" s="8" t="s">
        <v>132</v>
      </c>
      <c r="KDH47" s="22" t="s">
        <v>46</v>
      </c>
      <c r="KDI47" s="8" t="s">
        <v>433</v>
      </c>
      <c r="KDJ47" s="32" t="s">
        <v>92</v>
      </c>
      <c r="KDK47" s="8" t="s">
        <v>132</v>
      </c>
      <c r="KDL47" s="22" t="s">
        <v>46</v>
      </c>
      <c r="KDM47" s="8" t="s">
        <v>433</v>
      </c>
      <c r="KDN47" s="32" t="s">
        <v>92</v>
      </c>
      <c r="KDO47" s="8" t="s">
        <v>132</v>
      </c>
      <c r="KDP47" s="22" t="s">
        <v>46</v>
      </c>
      <c r="KDQ47" s="8" t="s">
        <v>433</v>
      </c>
      <c r="KDR47" s="32" t="s">
        <v>92</v>
      </c>
      <c r="KDS47" s="8" t="s">
        <v>132</v>
      </c>
      <c r="KDT47" s="22" t="s">
        <v>46</v>
      </c>
      <c r="KDU47" s="8" t="s">
        <v>433</v>
      </c>
      <c r="KDV47" s="32" t="s">
        <v>92</v>
      </c>
      <c r="KDW47" s="8" t="s">
        <v>132</v>
      </c>
      <c r="KDX47" s="22" t="s">
        <v>46</v>
      </c>
      <c r="KDY47" s="8" t="s">
        <v>433</v>
      </c>
      <c r="KDZ47" s="32" t="s">
        <v>92</v>
      </c>
      <c r="KEA47" s="8" t="s">
        <v>132</v>
      </c>
      <c r="KEB47" s="22" t="s">
        <v>46</v>
      </c>
      <c r="KEC47" s="8" t="s">
        <v>433</v>
      </c>
      <c r="KED47" s="32" t="s">
        <v>92</v>
      </c>
      <c r="KEE47" s="8" t="s">
        <v>132</v>
      </c>
      <c r="KEF47" s="22" t="s">
        <v>46</v>
      </c>
      <c r="KEG47" s="8" t="s">
        <v>433</v>
      </c>
      <c r="KEH47" s="32" t="s">
        <v>92</v>
      </c>
      <c r="KEI47" s="8" t="s">
        <v>132</v>
      </c>
      <c r="KEJ47" s="22" t="s">
        <v>46</v>
      </c>
      <c r="KEK47" s="8" t="s">
        <v>433</v>
      </c>
      <c r="KEL47" s="32" t="s">
        <v>92</v>
      </c>
      <c r="KEM47" s="8" t="s">
        <v>132</v>
      </c>
      <c r="KEN47" s="22" t="s">
        <v>46</v>
      </c>
      <c r="KEO47" s="8" t="s">
        <v>433</v>
      </c>
      <c r="KEP47" s="32" t="s">
        <v>92</v>
      </c>
      <c r="KEQ47" s="8" t="s">
        <v>132</v>
      </c>
      <c r="KER47" s="22" t="s">
        <v>46</v>
      </c>
      <c r="KES47" s="8" t="s">
        <v>433</v>
      </c>
      <c r="KET47" s="32" t="s">
        <v>92</v>
      </c>
      <c r="KEU47" s="8" t="s">
        <v>132</v>
      </c>
      <c r="KEV47" s="22" t="s">
        <v>46</v>
      </c>
      <c r="KEW47" s="8" t="s">
        <v>433</v>
      </c>
      <c r="KEX47" s="32" t="s">
        <v>92</v>
      </c>
      <c r="KEY47" s="8" t="s">
        <v>132</v>
      </c>
      <c r="KEZ47" s="22" t="s">
        <v>46</v>
      </c>
      <c r="KFA47" s="8" t="s">
        <v>433</v>
      </c>
      <c r="KFB47" s="32" t="s">
        <v>92</v>
      </c>
      <c r="KFC47" s="8" t="s">
        <v>132</v>
      </c>
      <c r="KFD47" s="22" t="s">
        <v>46</v>
      </c>
      <c r="KFE47" s="8" t="s">
        <v>433</v>
      </c>
      <c r="KFF47" s="32" t="s">
        <v>92</v>
      </c>
      <c r="KFG47" s="8" t="s">
        <v>132</v>
      </c>
      <c r="KFH47" s="22" t="s">
        <v>46</v>
      </c>
      <c r="KFI47" s="8" t="s">
        <v>433</v>
      </c>
      <c r="KFJ47" s="32" t="s">
        <v>92</v>
      </c>
      <c r="KFK47" s="8" t="s">
        <v>132</v>
      </c>
      <c r="KFL47" s="22" t="s">
        <v>46</v>
      </c>
      <c r="KFM47" s="8" t="s">
        <v>433</v>
      </c>
      <c r="KFN47" s="32" t="s">
        <v>92</v>
      </c>
      <c r="KFO47" s="8" t="s">
        <v>132</v>
      </c>
      <c r="KFP47" s="22" t="s">
        <v>46</v>
      </c>
      <c r="KFQ47" s="8" t="s">
        <v>433</v>
      </c>
      <c r="KFR47" s="32" t="s">
        <v>92</v>
      </c>
      <c r="KFS47" s="8" t="s">
        <v>132</v>
      </c>
      <c r="KFT47" s="22" t="s">
        <v>46</v>
      </c>
      <c r="KFU47" s="8" t="s">
        <v>433</v>
      </c>
      <c r="KFV47" s="32" t="s">
        <v>92</v>
      </c>
      <c r="KFW47" s="8" t="s">
        <v>132</v>
      </c>
      <c r="KFX47" s="22" t="s">
        <v>46</v>
      </c>
      <c r="KFY47" s="8" t="s">
        <v>433</v>
      </c>
      <c r="KFZ47" s="32" t="s">
        <v>92</v>
      </c>
      <c r="KGA47" s="8" t="s">
        <v>132</v>
      </c>
      <c r="KGB47" s="22" t="s">
        <v>46</v>
      </c>
      <c r="KGC47" s="8" t="s">
        <v>433</v>
      </c>
      <c r="KGD47" s="32" t="s">
        <v>92</v>
      </c>
      <c r="KGE47" s="8" t="s">
        <v>132</v>
      </c>
      <c r="KGF47" s="22" t="s">
        <v>46</v>
      </c>
      <c r="KGG47" s="8" t="s">
        <v>433</v>
      </c>
      <c r="KGH47" s="32" t="s">
        <v>92</v>
      </c>
      <c r="KGI47" s="8" t="s">
        <v>132</v>
      </c>
      <c r="KGJ47" s="22" t="s">
        <v>46</v>
      </c>
      <c r="KGK47" s="8" t="s">
        <v>433</v>
      </c>
      <c r="KGL47" s="32" t="s">
        <v>92</v>
      </c>
      <c r="KGM47" s="8" t="s">
        <v>132</v>
      </c>
      <c r="KGN47" s="22" t="s">
        <v>46</v>
      </c>
      <c r="KGO47" s="8" t="s">
        <v>433</v>
      </c>
      <c r="KGP47" s="32" t="s">
        <v>92</v>
      </c>
      <c r="KGQ47" s="8" t="s">
        <v>132</v>
      </c>
      <c r="KGR47" s="22" t="s">
        <v>46</v>
      </c>
      <c r="KGS47" s="8" t="s">
        <v>433</v>
      </c>
      <c r="KGT47" s="32" t="s">
        <v>92</v>
      </c>
      <c r="KGU47" s="8" t="s">
        <v>132</v>
      </c>
      <c r="KGV47" s="22" t="s">
        <v>46</v>
      </c>
      <c r="KGW47" s="8" t="s">
        <v>433</v>
      </c>
      <c r="KGX47" s="32" t="s">
        <v>92</v>
      </c>
      <c r="KGY47" s="8" t="s">
        <v>132</v>
      </c>
      <c r="KGZ47" s="22" t="s">
        <v>46</v>
      </c>
      <c r="KHA47" s="8" t="s">
        <v>433</v>
      </c>
      <c r="KHB47" s="32" t="s">
        <v>92</v>
      </c>
      <c r="KHC47" s="8" t="s">
        <v>132</v>
      </c>
      <c r="KHD47" s="22" t="s">
        <v>46</v>
      </c>
      <c r="KHE47" s="8" t="s">
        <v>433</v>
      </c>
      <c r="KHF47" s="32" t="s">
        <v>92</v>
      </c>
      <c r="KHG47" s="8" t="s">
        <v>132</v>
      </c>
      <c r="KHH47" s="22" t="s">
        <v>46</v>
      </c>
      <c r="KHI47" s="8" t="s">
        <v>433</v>
      </c>
      <c r="KHJ47" s="32" t="s">
        <v>92</v>
      </c>
      <c r="KHK47" s="8" t="s">
        <v>132</v>
      </c>
      <c r="KHL47" s="22" t="s">
        <v>46</v>
      </c>
      <c r="KHM47" s="8" t="s">
        <v>433</v>
      </c>
      <c r="KHN47" s="32" t="s">
        <v>92</v>
      </c>
      <c r="KHO47" s="8" t="s">
        <v>132</v>
      </c>
      <c r="KHP47" s="22" t="s">
        <v>46</v>
      </c>
      <c r="KHQ47" s="8" t="s">
        <v>433</v>
      </c>
      <c r="KHR47" s="32" t="s">
        <v>92</v>
      </c>
      <c r="KHS47" s="8" t="s">
        <v>132</v>
      </c>
      <c r="KHT47" s="22" t="s">
        <v>46</v>
      </c>
      <c r="KHU47" s="8" t="s">
        <v>433</v>
      </c>
      <c r="KHV47" s="32" t="s">
        <v>92</v>
      </c>
      <c r="KHW47" s="8" t="s">
        <v>132</v>
      </c>
      <c r="KHX47" s="22" t="s">
        <v>46</v>
      </c>
      <c r="KHY47" s="8" t="s">
        <v>433</v>
      </c>
      <c r="KHZ47" s="32" t="s">
        <v>92</v>
      </c>
      <c r="KIA47" s="8" t="s">
        <v>132</v>
      </c>
      <c r="KIB47" s="22" t="s">
        <v>46</v>
      </c>
      <c r="KIC47" s="8" t="s">
        <v>433</v>
      </c>
      <c r="KID47" s="32" t="s">
        <v>92</v>
      </c>
      <c r="KIE47" s="8" t="s">
        <v>132</v>
      </c>
      <c r="KIF47" s="22" t="s">
        <v>46</v>
      </c>
      <c r="KIG47" s="8" t="s">
        <v>433</v>
      </c>
      <c r="KIH47" s="32" t="s">
        <v>92</v>
      </c>
      <c r="KII47" s="8" t="s">
        <v>132</v>
      </c>
      <c r="KIJ47" s="22" t="s">
        <v>46</v>
      </c>
      <c r="KIK47" s="8" t="s">
        <v>433</v>
      </c>
      <c r="KIL47" s="32" t="s">
        <v>92</v>
      </c>
      <c r="KIM47" s="8" t="s">
        <v>132</v>
      </c>
      <c r="KIN47" s="22" t="s">
        <v>46</v>
      </c>
      <c r="KIO47" s="8" t="s">
        <v>433</v>
      </c>
      <c r="KIP47" s="32" t="s">
        <v>92</v>
      </c>
      <c r="KIQ47" s="8" t="s">
        <v>132</v>
      </c>
      <c r="KIR47" s="22" t="s">
        <v>46</v>
      </c>
      <c r="KIS47" s="8" t="s">
        <v>433</v>
      </c>
      <c r="KIT47" s="32" t="s">
        <v>92</v>
      </c>
      <c r="KIU47" s="8" t="s">
        <v>132</v>
      </c>
      <c r="KIV47" s="22" t="s">
        <v>46</v>
      </c>
      <c r="KIW47" s="8" t="s">
        <v>433</v>
      </c>
      <c r="KIX47" s="32" t="s">
        <v>92</v>
      </c>
      <c r="KIY47" s="8" t="s">
        <v>132</v>
      </c>
      <c r="KIZ47" s="22" t="s">
        <v>46</v>
      </c>
      <c r="KJA47" s="8" t="s">
        <v>433</v>
      </c>
      <c r="KJB47" s="32" t="s">
        <v>92</v>
      </c>
      <c r="KJC47" s="8" t="s">
        <v>132</v>
      </c>
      <c r="KJD47" s="22" t="s">
        <v>46</v>
      </c>
      <c r="KJE47" s="8" t="s">
        <v>433</v>
      </c>
      <c r="KJF47" s="32" t="s">
        <v>92</v>
      </c>
      <c r="KJG47" s="8" t="s">
        <v>132</v>
      </c>
      <c r="KJH47" s="22" t="s">
        <v>46</v>
      </c>
      <c r="KJI47" s="8" t="s">
        <v>433</v>
      </c>
      <c r="KJJ47" s="32" t="s">
        <v>92</v>
      </c>
      <c r="KJK47" s="8" t="s">
        <v>132</v>
      </c>
      <c r="KJL47" s="22" t="s">
        <v>46</v>
      </c>
      <c r="KJM47" s="8" t="s">
        <v>433</v>
      </c>
      <c r="KJN47" s="32" t="s">
        <v>92</v>
      </c>
      <c r="KJO47" s="8" t="s">
        <v>132</v>
      </c>
      <c r="KJP47" s="22" t="s">
        <v>46</v>
      </c>
      <c r="KJQ47" s="8" t="s">
        <v>433</v>
      </c>
      <c r="KJR47" s="32" t="s">
        <v>92</v>
      </c>
      <c r="KJS47" s="8" t="s">
        <v>132</v>
      </c>
      <c r="KJT47" s="22" t="s">
        <v>46</v>
      </c>
      <c r="KJU47" s="8" t="s">
        <v>433</v>
      </c>
      <c r="KJV47" s="32" t="s">
        <v>92</v>
      </c>
      <c r="KJW47" s="8" t="s">
        <v>132</v>
      </c>
      <c r="KJX47" s="22" t="s">
        <v>46</v>
      </c>
      <c r="KJY47" s="8" t="s">
        <v>433</v>
      </c>
      <c r="KJZ47" s="32" t="s">
        <v>92</v>
      </c>
      <c r="KKA47" s="8" t="s">
        <v>132</v>
      </c>
      <c r="KKB47" s="22" t="s">
        <v>46</v>
      </c>
      <c r="KKC47" s="8" t="s">
        <v>433</v>
      </c>
      <c r="KKD47" s="32" t="s">
        <v>92</v>
      </c>
      <c r="KKE47" s="8" t="s">
        <v>132</v>
      </c>
      <c r="KKF47" s="22" t="s">
        <v>46</v>
      </c>
      <c r="KKG47" s="8" t="s">
        <v>433</v>
      </c>
      <c r="KKH47" s="32" t="s">
        <v>92</v>
      </c>
      <c r="KKI47" s="8" t="s">
        <v>132</v>
      </c>
      <c r="KKJ47" s="22" t="s">
        <v>46</v>
      </c>
      <c r="KKK47" s="8" t="s">
        <v>433</v>
      </c>
      <c r="KKL47" s="32" t="s">
        <v>92</v>
      </c>
      <c r="KKM47" s="8" t="s">
        <v>132</v>
      </c>
      <c r="KKN47" s="22" t="s">
        <v>46</v>
      </c>
      <c r="KKO47" s="8" t="s">
        <v>433</v>
      </c>
      <c r="KKP47" s="32" t="s">
        <v>92</v>
      </c>
      <c r="KKQ47" s="8" t="s">
        <v>132</v>
      </c>
      <c r="KKR47" s="22" t="s">
        <v>46</v>
      </c>
      <c r="KKS47" s="8" t="s">
        <v>433</v>
      </c>
      <c r="KKT47" s="32" t="s">
        <v>92</v>
      </c>
      <c r="KKU47" s="8" t="s">
        <v>132</v>
      </c>
      <c r="KKV47" s="22" t="s">
        <v>46</v>
      </c>
      <c r="KKW47" s="8" t="s">
        <v>433</v>
      </c>
      <c r="KKX47" s="32" t="s">
        <v>92</v>
      </c>
      <c r="KKY47" s="8" t="s">
        <v>132</v>
      </c>
      <c r="KKZ47" s="22" t="s">
        <v>46</v>
      </c>
      <c r="KLA47" s="8" t="s">
        <v>433</v>
      </c>
      <c r="KLB47" s="32" t="s">
        <v>92</v>
      </c>
      <c r="KLC47" s="8" t="s">
        <v>132</v>
      </c>
      <c r="KLD47" s="22" t="s">
        <v>46</v>
      </c>
      <c r="KLE47" s="8" t="s">
        <v>433</v>
      </c>
      <c r="KLF47" s="32" t="s">
        <v>92</v>
      </c>
      <c r="KLG47" s="8" t="s">
        <v>132</v>
      </c>
      <c r="KLH47" s="22" t="s">
        <v>46</v>
      </c>
      <c r="KLI47" s="8" t="s">
        <v>433</v>
      </c>
      <c r="KLJ47" s="32" t="s">
        <v>92</v>
      </c>
      <c r="KLK47" s="8" t="s">
        <v>132</v>
      </c>
      <c r="KLL47" s="22" t="s">
        <v>46</v>
      </c>
      <c r="KLM47" s="8" t="s">
        <v>433</v>
      </c>
      <c r="KLN47" s="32" t="s">
        <v>92</v>
      </c>
      <c r="KLO47" s="8" t="s">
        <v>132</v>
      </c>
      <c r="KLP47" s="22" t="s">
        <v>46</v>
      </c>
      <c r="KLQ47" s="8" t="s">
        <v>433</v>
      </c>
      <c r="KLR47" s="32" t="s">
        <v>92</v>
      </c>
      <c r="KLS47" s="8" t="s">
        <v>132</v>
      </c>
      <c r="KLT47" s="22" t="s">
        <v>46</v>
      </c>
      <c r="KLU47" s="8" t="s">
        <v>433</v>
      </c>
      <c r="KLV47" s="32" t="s">
        <v>92</v>
      </c>
      <c r="KLW47" s="8" t="s">
        <v>132</v>
      </c>
      <c r="KLX47" s="22" t="s">
        <v>46</v>
      </c>
      <c r="KLY47" s="8" t="s">
        <v>433</v>
      </c>
      <c r="KLZ47" s="32" t="s">
        <v>92</v>
      </c>
      <c r="KMA47" s="8" t="s">
        <v>132</v>
      </c>
      <c r="KMB47" s="22" t="s">
        <v>46</v>
      </c>
      <c r="KMC47" s="8" t="s">
        <v>433</v>
      </c>
      <c r="KMD47" s="32" t="s">
        <v>92</v>
      </c>
      <c r="KME47" s="8" t="s">
        <v>132</v>
      </c>
      <c r="KMF47" s="22" t="s">
        <v>46</v>
      </c>
      <c r="KMG47" s="8" t="s">
        <v>433</v>
      </c>
      <c r="KMH47" s="32" t="s">
        <v>92</v>
      </c>
      <c r="KMI47" s="8" t="s">
        <v>132</v>
      </c>
      <c r="KMJ47" s="22" t="s">
        <v>46</v>
      </c>
      <c r="KMK47" s="8" t="s">
        <v>433</v>
      </c>
      <c r="KML47" s="32" t="s">
        <v>92</v>
      </c>
      <c r="KMM47" s="8" t="s">
        <v>132</v>
      </c>
      <c r="KMN47" s="22" t="s">
        <v>46</v>
      </c>
      <c r="KMO47" s="8" t="s">
        <v>433</v>
      </c>
      <c r="KMP47" s="32" t="s">
        <v>92</v>
      </c>
      <c r="KMQ47" s="8" t="s">
        <v>132</v>
      </c>
      <c r="KMR47" s="22" t="s">
        <v>46</v>
      </c>
      <c r="KMS47" s="8" t="s">
        <v>433</v>
      </c>
      <c r="KMT47" s="32" t="s">
        <v>92</v>
      </c>
      <c r="KMU47" s="8" t="s">
        <v>132</v>
      </c>
      <c r="KMV47" s="22" t="s">
        <v>46</v>
      </c>
      <c r="KMW47" s="8" t="s">
        <v>433</v>
      </c>
      <c r="KMX47" s="32" t="s">
        <v>92</v>
      </c>
      <c r="KMY47" s="8" t="s">
        <v>132</v>
      </c>
      <c r="KMZ47" s="22" t="s">
        <v>46</v>
      </c>
      <c r="KNA47" s="8" t="s">
        <v>433</v>
      </c>
      <c r="KNB47" s="32" t="s">
        <v>92</v>
      </c>
      <c r="KNC47" s="8" t="s">
        <v>132</v>
      </c>
      <c r="KND47" s="22" t="s">
        <v>46</v>
      </c>
      <c r="KNE47" s="8" t="s">
        <v>433</v>
      </c>
      <c r="KNF47" s="32" t="s">
        <v>92</v>
      </c>
      <c r="KNG47" s="8" t="s">
        <v>132</v>
      </c>
      <c r="KNH47" s="22" t="s">
        <v>46</v>
      </c>
      <c r="KNI47" s="8" t="s">
        <v>433</v>
      </c>
      <c r="KNJ47" s="32" t="s">
        <v>92</v>
      </c>
      <c r="KNK47" s="8" t="s">
        <v>132</v>
      </c>
      <c r="KNL47" s="22" t="s">
        <v>46</v>
      </c>
      <c r="KNM47" s="8" t="s">
        <v>433</v>
      </c>
      <c r="KNN47" s="32" t="s">
        <v>92</v>
      </c>
      <c r="KNO47" s="8" t="s">
        <v>132</v>
      </c>
      <c r="KNP47" s="22" t="s">
        <v>46</v>
      </c>
      <c r="KNQ47" s="8" t="s">
        <v>433</v>
      </c>
      <c r="KNR47" s="32" t="s">
        <v>92</v>
      </c>
      <c r="KNS47" s="8" t="s">
        <v>132</v>
      </c>
      <c r="KNT47" s="22" t="s">
        <v>46</v>
      </c>
      <c r="KNU47" s="8" t="s">
        <v>433</v>
      </c>
      <c r="KNV47" s="32" t="s">
        <v>92</v>
      </c>
      <c r="KNW47" s="8" t="s">
        <v>132</v>
      </c>
      <c r="KNX47" s="22" t="s">
        <v>46</v>
      </c>
      <c r="KNY47" s="8" t="s">
        <v>433</v>
      </c>
      <c r="KNZ47" s="32" t="s">
        <v>92</v>
      </c>
      <c r="KOA47" s="8" t="s">
        <v>132</v>
      </c>
      <c r="KOB47" s="22" t="s">
        <v>46</v>
      </c>
      <c r="KOC47" s="8" t="s">
        <v>433</v>
      </c>
      <c r="KOD47" s="32" t="s">
        <v>92</v>
      </c>
      <c r="KOE47" s="8" t="s">
        <v>132</v>
      </c>
      <c r="KOF47" s="22" t="s">
        <v>46</v>
      </c>
      <c r="KOG47" s="8" t="s">
        <v>433</v>
      </c>
      <c r="KOH47" s="32" t="s">
        <v>92</v>
      </c>
      <c r="KOI47" s="8" t="s">
        <v>132</v>
      </c>
      <c r="KOJ47" s="22" t="s">
        <v>46</v>
      </c>
      <c r="KOK47" s="8" t="s">
        <v>433</v>
      </c>
      <c r="KOL47" s="32" t="s">
        <v>92</v>
      </c>
      <c r="KOM47" s="8" t="s">
        <v>132</v>
      </c>
      <c r="KON47" s="22" t="s">
        <v>46</v>
      </c>
      <c r="KOO47" s="8" t="s">
        <v>433</v>
      </c>
      <c r="KOP47" s="32" t="s">
        <v>92</v>
      </c>
      <c r="KOQ47" s="8" t="s">
        <v>132</v>
      </c>
      <c r="KOR47" s="22" t="s">
        <v>46</v>
      </c>
      <c r="KOS47" s="8" t="s">
        <v>433</v>
      </c>
      <c r="KOT47" s="32" t="s">
        <v>92</v>
      </c>
      <c r="KOU47" s="8" t="s">
        <v>132</v>
      </c>
      <c r="KOV47" s="22" t="s">
        <v>46</v>
      </c>
      <c r="KOW47" s="8" t="s">
        <v>433</v>
      </c>
      <c r="KOX47" s="32" t="s">
        <v>92</v>
      </c>
      <c r="KOY47" s="8" t="s">
        <v>132</v>
      </c>
      <c r="KOZ47" s="22" t="s">
        <v>46</v>
      </c>
      <c r="KPA47" s="8" t="s">
        <v>433</v>
      </c>
      <c r="KPB47" s="32" t="s">
        <v>92</v>
      </c>
      <c r="KPC47" s="8" t="s">
        <v>132</v>
      </c>
      <c r="KPD47" s="22" t="s">
        <v>46</v>
      </c>
      <c r="KPE47" s="8" t="s">
        <v>433</v>
      </c>
      <c r="KPF47" s="32" t="s">
        <v>92</v>
      </c>
      <c r="KPG47" s="8" t="s">
        <v>132</v>
      </c>
      <c r="KPH47" s="22" t="s">
        <v>46</v>
      </c>
      <c r="KPI47" s="8" t="s">
        <v>433</v>
      </c>
      <c r="KPJ47" s="32" t="s">
        <v>92</v>
      </c>
      <c r="KPK47" s="8" t="s">
        <v>132</v>
      </c>
      <c r="KPL47" s="22" t="s">
        <v>46</v>
      </c>
      <c r="KPM47" s="8" t="s">
        <v>433</v>
      </c>
      <c r="KPN47" s="32" t="s">
        <v>92</v>
      </c>
      <c r="KPO47" s="8" t="s">
        <v>132</v>
      </c>
      <c r="KPP47" s="22" t="s">
        <v>46</v>
      </c>
      <c r="KPQ47" s="8" t="s">
        <v>433</v>
      </c>
      <c r="KPR47" s="32" t="s">
        <v>92</v>
      </c>
      <c r="KPS47" s="8" t="s">
        <v>132</v>
      </c>
      <c r="KPT47" s="22" t="s">
        <v>46</v>
      </c>
      <c r="KPU47" s="8" t="s">
        <v>433</v>
      </c>
      <c r="KPV47" s="32" t="s">
        <v>92</v>
      </c>
      <c r="KPW47" s="8" t="s">
        <v>132</v>
      </c>
      <c r="KPX47" s="22" t="s">
        <v>46</v>
      </c>
      <c r="KPY47" s="8" t="s">
        <v>433</v>
      </c>
      <c r="KPZ47" s="32" t="s">
        <v>92</v>
      </c>
      <c r="KQA47" s="8" t="s">
        <v>132</v>
      </c>
      <c r="KQB47" s="22" t="s">
        <v>46</v>
      </c>
      <c r="KQC47" s="8" t="s">
        <v>433</v>
      </c>
      <c r="KQD47" s="32" t="s">
        <v>92</v>
      </c>
      <c r="KQE47" s="8" t="s">
        <v>132</v>
      </c>
      <c r="KQF47" s="22" t="s">
        <v>46</v>
      </c>
      <c r="KQG47" s="8" t="s">
        <v>433</v>
      </c>
      <c r="KQH47" s="32" t="s">
        <v>92</v>
      </c>
      <c r="KQI47" s="8" t="s">
        <v>132</v>
      </c>
      <c r="KQJ47" s="22" t="s">
        <v>46</v>
      </c>
      <c r="KQK47" s="8" t="s">
        <v>433</v>
      </c>
      <c r="KQL47" s="32" t="s">
        <v>92</v>
      </c>
      <c r="KQM47" s="8" t="s">
        <v>132</v>
      </c>
      <c r="KQN47" s="22" t="s">
        <v>46</v>
      </c>
      <c r="KQO47" s="8" t="s">
        <v>433</v>
      </c>
      <c r="KQP47" s="32" t="s">
        <v>92</v>
      </c>
      <c r="KQQ47" s="8" t="s">
        <v>132</v>
      </c>
      <c r="KQR47" s="22" t="s">
        <v>46</v>
      </c>
      <c r="KQS47" s="8" t="s">
        <v>433</v>
      </c>
      <c r="KQT47" s="32" t="s">
        <v>92</v>
      </c>
      <c r="KQU47" s="8" t="s">
        <v>132</v>
      </c>
      <c r="KQV47" s="22" t="s">
        <v>46</v>
      </c>
      <c r="KQW47" s="8" t="s">
        <v>433</v>
      </c>
      <c r="KQX47" s="32" t="s">
        <v>92</v>
      </c>
      <c r="KQY47" s="8" t="s">
        <v>132</v>
      </c>
      <c r="KQZ47" s="22" t="s">
        <v>46</v>
      </c>
      <c r="KRA47" s="8" t="s">
        <v>433</v>
      </c>
      <c r="KRB47" s="32" t="s">
        <v>92</v>
      </c>
      <c r="KRC47" s="8" t="s">
        <v>132</v>
      </c>
      <c r="KRD47" s="22" t="s">
        <v>46</v>
      </c>
      <c r="KRE47" s="8" t="s">
        <v>433</v>
      </c>
      <c r="KRF47" s="32" t="s">
        <v>92</v>
      </c>
      <c r="KRG47" s="8" t="s">
        <v>132</v>
      </c>
      <c r="KRH47" s="22" t="s">
        <v>46</v>
      </c>
      <c r="KRI47" s="8" t="s">
        <v>433</v>
      </c>
      <c r="KRJ47" s="32" t="s">
        <v>92</v>
      </c>
      <c r="KRK47" s="8" t="s">
        <v>132</v>
      </c>
      <c r="KRL47" s="22" t="s">
        <v>46</v>
      </c>
      <c r="KRM47" s="8" t="s">
        <v>433</v>
      </c>
      <c r="KRN47" s="32" t="s">
        <v>92</v>
      </c>
      <c r="KRO47" s="8" t="s">
        <v>132</v>
      </c>
      <c r="KRP47" s="22" t="s">
        <v>46</v>
      </c>
      <c r="KRQ47" s="8" t="s">
        <v>433</v>
      </c>
      <c r="KRR47" s="32" t="s">
        <v>92</v>
      </c>
      <c r="KRS47" s="8" t="s">
        <v>132</v>
      </c>
      <c r="KRT47" s="22" t="s">
        <v>46</v>
      </c>
      <c r="KRU47" s="8" t="s">
        <v>433</v>
      </c>
      <c r="KRV47" s="32" t="s">
        <v>92</v>
      </c>
      <c r="KRW47" s="8" t="s">
        <v>132</v>
      </c>
      <c r="KRX47" s="22" t="s">
        <v>46</v>
      </c>
      <c r="KRY47" s="8" t="s">
        <v>433</v>
      </c>
      <c r="KRZ47" s="32" t="s">
        <v>92</v>
      </c>
      <c r="KSA47" s="8" t="s">
        <v>132</v>
      </c>
      <c r="KSB47" s="22" t="s">
        <v>46</v>
      </c>
      <c r="KSC47" s="8" t="s">
        <v>433</v>
      </c>
      <c r="KSD47" s="32" t="s">
        <v>92</v>
      </c>
      <c r="KSE47" s="8" t="s">
        <v>132</v>
      </c>
      <c r="KSF47" s="22" t="s">
        <v>46</v>
      </c>
      <c r="KSG47" s="8" t="s">
        <v>433</v>
      </c>
      <c r="KSH47" s="32" t="s">
        <v>92</v>
      </c>
      <c r="KSI47" s="8" t="s">
        <v>132</v>
      </c>
      <c r="KSJ47" s="22" t="s">
        <v>46</v>
      </c>
      <c r="KSK47" s="8" t="s">
        <v>433</v>
      </c>
      <c r="KSL47" s="32" t="s">
        <v>92</v>
      </c>
      <c r="KSM47" s="8" t="s">
        <v>132</v>
      </c>
      <c r="KSN47" s="22" t="s">
        <v>46</v>
      </c>
      <c r="KSO47" s="8" t="s">
        <v>433</v>
      </c>
      <c r="KSP47" s="32" t="s">
        <v>92</v>
      </c>
      <c r="KSQ47" s="8" t="s">
        <v>132</v>
      </c>
      <c r="KSR47" s="22" t="s">
        <v>46</v>
      </c>
      <c r="KSS47" s="8" t="s">
        <v>433</v>
      </c>
      <c r="KST47" s="32" t="s">
        <v>92</v>
      </c>
      <c r="KSU47" s="8" t="s">
        <v>132</v>
      </c>
      <c r="KSV47" s="22" t="s">
        <v>46</v>
      </c>
      <c r="KSW47" s="8" t="s">
        <v>433</v>
      </c>
      <c r="KSX47" s="32" t="s">
        <v>92</v>
      </c>
      <c r="KSY47" s="8" t="s">
        <v>132</v>
      </c>
      <c r="KSZ47" s="22" t="s">
        <v>46</v>
      </c>
      <c r="KTA47" s="8" t="s">
        <v>433</v>
      </c>
      <c r="KTB47" s="32" t="s">
        <v>92</v>
      </c>
      <c r="KTC47" s="8" t="s">
        <v>132</v>
      </c>
      <c r="KTD47" s="22" t="s">
        <v>46</v>
      </c>
      <c r="KTE47" s="8" t="s">
        <v>433</v>
      </c>
      <c r="KTF47" s="32" t="s">
        <v>92</v>
      </c>
      <c r="KTG47" s="8" t="s">
        <v>132</v>
      </c>
      <c r="KTH47" s="22" t="s">
        <v>46</v>
      </c>
      <c r="KTI47" s="8" t="s">
        <v>433</v>
      </c>
      <c r="KTJ47" s="32" t="s">
        <v>92</v>
      </c>
      <c r="KTK47" s="8" t="s">
        <v>132</v>
      </c>
      <c r="KTL47" s="22" t="s">
        <v>46</v>
      </c>
      <c r="KTM47" s="8" t="s">
        <v>433</v>
      </c>
      <c r="KTN47" s="32" t="s">
        <v>92</v>
      </c>
      <c r="KTO47" s="8" t="s">
        <v>132</v>
      </c>
      <c r="KTP47" s="22" t="s">
        <v>46</v>
      </c>
      <c r="KTQ47" s="8" t="s">
        <v>433</v>
      </c>
      <c r="KTR47" s="32" t="s">
        <v>92</v>
      </c>
      <c r="KTS47" s="8" t="s">
        <v>132</v>
      </c>
      <c r="KTT47" s="22" t="s">
        <v>46</v>
      </c>
      <c r="KTU47" s="8" t="s">
        <v>433</v>
      </c>
      <c r="KTV47" s="32" t="s">
        <v>92</v>
      </c>
      <c r="KTW47" s="8" t="s">
        <v>132</v>
      </c>
      <c r="KTX47" s="22" t="s">
        <v>46</v>
      </c>
      <c r="KTY47" s="8" t="s">
        <v>433</v>
      </c>
      <c r="KTZ47" s="32" t="s">
        <v>92</v>
      </c>
      <c r="KUA47" s="8" t="s">
        <v>132</v>
      </c>
      <c r="KUB47" s="22" t="s">
        <v>46</v>
      </c>
      <c r="KUC47" s="8" t="s">
        <v>433</v>
      </c>
      <c r="KUD47" s="32" t="s">
        <v>92</v>
      </c>
      <c r="KUE47" s="8" t="s">
        <v>132</v>
      </c>
      <c r="KUF47" s="22" t="s">
        <v>46</v>
      </c>
      <c r="KUG47" s="8" t="s">
        <v>433</v>
      </c>
      <c r="KUH47" s="32" t="s">
        <v>92</v>
      </c>
      <c r="KUI47" s="8" t="s">
        <v>132</v>
      </c>
      <c r="KUJ47" s="22" t="s">
        <v>46</v>
      </c>
      <c r="KUK47" s="8" t="s">
        <v>433</v>
      </c>
      <c r="KUL47" s="32" t="s">
        <v>92</v>
      </c>
      <c r="KUM47" s="8" t="s">
        <v>132</v>
      </c>
      <c r="KUN47" s="22" t="s">
        <v>46</v>
      </c>
      <c r="KUO47" s="8" t="s">
        <v>433</v>
      </c>
      <c r="KUP47" s="32" t="s">
        <v>92</v>
      </c>
      <c r="KUQ47" s="8" t="s">
        <v>132</v>
      </c>
      <c r="KUR47" s="22" t="s">
        <v>46</v>
      </c>
      <c r="KUS47" s="8" t="s">
        <v>433</v>
      </c>
      <c r="KUT47" s="32" t="s">
        <v>92</v>
      </c>
      <c r="KUU47" s="8" t="s">
        <v>132</v>
      </c>
      <c r="KUV47" s="22" t="s">
        <v>46</v>
      </c>
      <c r="KUW47" s="8" t="s">
        <v>433</v>
      </c>
      <c r="KUX47" s="32" t="s">
        <v>92</v>
      </c>
      <c r="KUY47" s="8" t="s">
        <v>132</v>
      </c>
      <c r="KUZ47" s="22" t="s">
        <v>46</v>
      </c>
      <c r="KVA47" s="8" t="s">
        <v>433</v>
      </c>
      <c r="KVB47" s="32" t="s">
        <v>92</v>
      </c>
      <c r="KVC47" s="8" t="s">
        <v>132</v>
      </c>
      <c r="KVD47" s="22" t="s">
        <v>46</v>
      </c>
      <c r="KVE47" s="8" t="s">
        <v>433</v>
      </c>
      <c r="KVF47" s="32" t="s">
        <v>92</v>
      </c>
      <c r="KVG47" s="8" t="s">
        <v>132</v>
      </c>
      <c r="KVH47" s="22" t="s">
        <v>46</v>
      </c>
      <c r="KVI47" s="8" t="s">
        <v>433</v>
      </c>
      <c r="KVJ47" s="32" t="s">
        <v>92</v>
      </c>
      <c r="KVK47" s="8" t="s">
        <v>132</v>
      </c>
      <c r="KVL47" s="22" t="s">
        <v>46</v>
      </c>
      <c r="KVM47" s="8" t="s">
        <v>433</v>
      </c>
      <c r="KVN47" s="32" t="s">
        <v>92</v>
      </c>
      <c r="KVO47" s="8" t="s">
        <v>132</v>
      </c>
      <c r="KVP47" s="22" t="s">
        <v>46</v>
      </c>
      <c r="KVQ47" s="8" t="s">
        <v>433</v>
      </c>
      <c r="KVR47" s="32" t="s">
        <v>92</v>
      </c>
      <c r="KVS47" s="8" t="s">
        <v>132</v>
      </c>
      <c r="KVT47" s="22" t="s">
        <v>46</v>
      </c>
      <c r="KVU47" s="8" t="s">
        <v>433</v>
      </c>
      <c r="KVV47" s="32" t="s">
        <v>92</v>
      </c>
      <c r="KVW47" s="8" t="s">
        <v>132</v>
      </c>
      <c r="KVX47" s="22" t="s">
        <v>46</v>
      </c>
      <c r="KVY47" s="8" t="s">
        <v>433</v>
      </c>
      <c r="KVZ47" s="32" t="s">
        <v>92</v>
      </c>
      <c r="KWA47" s="8" t="s">
        <v>132</v>
      </c>
      <c r="KWB47" s="22" t="s">
        <v>46</v>
      </c>
      <c r="KWC47" s="8" t="s">
        <v>433</v>
      </c>
      <c r="KWD47" s="32" t="s">
        <v>92</v>
      </c>
      <c r="KWE47" s="8" t="s">
        <v>132</v>
      </c>
      <c r="KWF47" s="22" t="s">
        <v>46</v>
      </c>
      <c r="KWG47" s="8" t="s">
        <v>433</v>
      </c>
      <c r="KWH47" s="32" t="s">
        <v>92</v>
      </c>
      <c r="KWI47" s="8" t="s">
        <v>132</v>
      </c>
      <c r="KWJ47" s="22" t="s">
        <v>46</v>
      </c>
      <c r="KWK47" s="8" t="s">
        <v>433</v>
      </c>
      <c r="KWL47" s="32" t="s">
        <v>92</v>
      </c>
      <c r="KWM47" s="8" t="s">
        <v>132</v>
      </c>
      <c r="KWN47" s="22" t="s">
        <v>46</v>
      </c>
      <c r="KWO47" s="8" t="s">
        <v>433</v>
      </c>
      <c r="KWP47" s="32" t="s">
        <v>92</v>
      </c>
      <c r="KWQ47" s="8" t="s">
        <v>132</v>
      </c>
      <c r="KWR47" s="22" t="s">
        <v>46</v>
      </c>
      <c r="KWS47" s="8" t="s">
        <v>433</v>
      </c>
      <c r="KWT47" s="32" t="s">
        <v>92</v>
      </c>
      <c r="KWU47" s="8" t="s">
        <v>132</v>
      </c>
      <c r="KWV47" s="22" t="s">
        <v>46</v>
      </c>
      <c r="KWW47" s="8" t="s">
        <v>433</v>
      </c>
      <c r="KWX47" s="32" t="s">
        <v>92</v>
      </c>
      <c r="KWY47" s="8" t="s">
        <v>132</v>
      </c>
      <c r="KWZ47" s="22" t="s">
        <v>46</v>
      </c>
      <c r="KXA47" s="8" t="s">
        <v>433</v>
      </c>
      <c r="KXB47" s="32" t="s">
        <v>92</v>
      </c>
      <c r="KXC47" s="8" t="s">
        <v>132</v>
      </c>
      <c r="KXD47" s="22" t="s">
        <v>46</v>
      </c>
      <c r="KXE47" s="8" t="s">
        <v>433</v>
      </c>
      <c r="KXF47" s="32" t="s">
        <v>92</v>
      </c>
      <c r="KXG47" s="8" t="s">
        <v>132</v>
      </c>
      <c r="KXH47" s="22" t="s">
        <v>46</v>
      </c>
      <c r="KXI47" s="8" t="s">
        <v>433</v>
      </c>
      <c r="KXJ47" s="32" t="s">
        <v>92</v>
      </c>
      <c r="KXK47" s="8" t="s">
        <v>132</v>
      </c>
      <c r="KXL47" s="22" t="s">
        <v>46</v>
      </c>
      <c r="KXM47" s="8" t="s">
        <v>433</v>
      </c>
      <c r="KXN47" s="32" t="s">
        <v>92</v>
      </c>
      <c r="KXO47" s="8" t="s">
        <v>132</v>
      </c>
      <c r="KXP47" s="22" t="s">
        <v>46</v>
      </c>
      <c r="KXQ47" s="8" t="s">
        <v>433</v>
      </c>
      <c r="KXR47" s="32" t="s">
        <v>92</v>
      </c>
      <c r="KXS47" s="8" t="s">
        <v>132</v>
      </c>
      <c r="KXT47" s="22" t="s">
        <v>46</v>
      </c>
      <c r="KXU47" s="8" t="s">
        <v>433</v>
      </c>
      <c r="KXV47" s="32" t="s">
        <v>92</v>
      </c>
      <c r="KXW47" s="8" t="s">
        <v>132</v>
      </c>
      <c r="KXX47" s="22" t="s">
        <v>46</v>
      </c>
      <c r="KXY47" s="8" t="s">
        <v>433</v>
      </c>
      <c r="KXZ47" s="32" t="s">
        <v>92</v>
      </c>
      <c r="KYA47" s="8" t="s">
        <v>132</v>
      </c>
      <c r="KYB47" s="22" t="s">
        <v>46</v>
      </c>
      <c r="KYC47" s="8" t="s">
        <v>433</v>
      </c>
      <c r="KYD47" s="32" t="s">
        <v>92</v>
      </c>
      <c r="KYE47" s="8" t="s">
        <v>132</v>
      </c>
      <c r="KYF47" s="22" t="s">
        <v>46</v>
      </c>
      <c r="KYG47" s="8" t="s">
        <v>433</v>
      </c>
      <c r="KYH47" s="32" t="s">
        <v>92</v>
      </c>
      <c r="KYI47" s="8" t="s">
        <v>132</v>
      </c>
      <c r="KYJ47" s="22" t="s">
        <v>46</v>
      </c>
      <c r="KYK47" s="8" t="s">
        <v>433</v>
      </c>
      <c r="KYL47" s="32" t="s">
        <v>92</v>
      </c>
      <c r="KYM47" s="8" t="s">
        <v>132</v>
      </c>
      <c r="KYN47" s="22" t="s">
        <v>46</v>
      </c>
      <c r="KYO47" s="8" t="s">
        <v>433</v>
      </c>
      <c r="KYP47" s="32" t="s">
        <v>92</v>
      </c>
      <c r="KYQ47" s="8" t="s">
        <v>132</v>
      </c>
      <c r="KYR47" s="22" t="s">
        <v>46</v>
      </c>
      <c r="KYS47" s="8" t="s">
        <v>433</v>
      </c>
      <c r="KYT47" s="32" t="s">
        <v>92</v>
      </c>
      <c r="KYU47" s="8" t="s">
        <v>132</v>
      </c>
      <c r="KYV47" s="22" t="s">
        <v>46</v>
      </c>
      <c r="KYW47" s="8" t="s">
        <v>433</v>
      </c>
      <c r="KYX47" s="32" t="s">
        <v>92</v>
      </c>
      <c r="KYY47" s="8" t="s">
        <v>132</v>
      </c>
      <c r="KYZ47" s="22" t="s">
        <v>46</v>
      </c>
      <c r="KZA47" s="8" t="s">
        <v>433</v>
      </c>
      <c r="KZB47" s="32" t="s">
        <v>92</v>
      </c>
      <c r="KZC47" s="8" t="s">
        <v>132</v>
      </c>
      <c r="KZD47" s="22" t="s">
        <v>46</v>
      </c>
      <c r="KZE47" s="8" t="s">
        <v>433</v>
      </c>
      <c r="KZF47" s="32" t="s">
        <v>92</v>
      </c>
      <c r="KZG47" s="8" t="s">
        <v>132</v>
      </c>
      <c r="KZH47" s="22" t="s">
        <v>46</v>
      </c>
      <c r="KZI47" s="8" t="s">
        <v>433</v>
      </c>
      <c r="KZJ47" s="32" t="s">
        <v>92</v>
      </c>
      <c r="KZK47" s="8" t="s">
        <v>132</v>
      </c>
      <c r="KZL47" s="22" t="s">
        <v>46</v>
      </c>
      <c r="KZM47" s="8" t="s">
        <v>433</v>
      </c>
      <c r="KZN47" s="32" t="s">
        <v>92</v>
      </c>
      <c r="KZO47" s="8" t="s">
        <v>132</v>
      </c>
      <c r="KZP47" s="22" t="s">
        <v>46</v>
      </c>
      <c r="KZQ47" s="8" t="s">
        <v>433</v>
      </c>
      <c r="KZR47" s="32" t="s">
        <v>92</v>
      </c>
      <c r="KZS47" s="8" t="s">
        <v>132</v>
      </c>
      <c r="KZT47" s="22" t="s">
        <v>46</v>
      </c>
      <c r="KZU47" s="8" t="s">
        <v>433</v>
      </c>
      <c r="KZV47" s="32" t="s">
        <v>92</v>
      </c>
      <c r="KZW47" s="8" t="s">
        <v>132</v>
      </c>
      <c r="KZX47" s="22" t="s">
        <v>46</v>
      </c>
      <c r="KZY47" s="8" t="s">
        <v>433</v>
      </c>
      <c r="KZZ47" s="32" t="s">
        <v>92</v>
      </c>
      <c r="LAA47" s="8" t="s">
        <v>132</v>
      </c>
      <c r="LAB47" s="22" t="s">
        <v>46</v>
      </c>
      <c r="LAC47" s="8" t="s">
        <v>433</v>
      </c>
      <c r="LAD47" s="32" t="s">
        <v>92</v>
      </c>
      <c r="LAE47" s="8" t="s">
        <v>132</v>
      </c>
      <c r="LAF47" s="22" t="s">
        <v>46</v>
      </c>
      <c r="LAG47" s="8" t="s">
        <v>433</v>
      </c>
      <c r="LAH47" s="32" t="s">
        <v>92</v>
      </c>
      <c r="LAI47" s="8" t="s">
        <v>132</v>
      </c>
      <c r="LAJ47" s="22" t="s">
        <v>46</v>
      </c>
      <c r="LAK47" s="8" t="s">
        <v>433</v>
      </c>
      <c r="LAL47" s="32" t="s">
        <v>92</v>
      </c>
      <c r="LAM47" s="8" t="s">
        <v>132</v>
      </c>
      <c r="LAN47" s="22" t="s">
        <v>46</v>
      </c>
      <c r="LAO47" s="8" t="s">
        <v>433</v>
      </c>
      <c r="LAP47" s="32" t="s">
        <v>92</v>
      </c>
      <c r="LAQ47" s="8" t="s">
        <v>132</v>
      </c>
      <c r="LAR47" s="22" t="s">
        <v>46</v>
      </c>
      <c r="LAS47" s="8" t="s">
        <v>433</v>
      </c>
      <c r="LAT47" s="32" t="s">
        <v>92</v>
      </c>
      <c r="LAU47" s="8" t="s">
        <v>132</v>
      </c>
      <c r="LAV47" s="22" t="s">
        <v>46</v>
      </c>
      <c r="LAW47" s="8" t="s">
        <v>433</v>
      </c>
      <c r="LAX47" s="32" t="s">
        <v>92</v>
      </c>
      <c r="LAY47" s="8" t="s">
        <v>132</v>
      </c>
      <c r="LAZ47" s="22" t="s">
        <v>46</v>
      </c>
      <c r="LBA47" s="8" t="s">
        <v>433</v>
      </c>
      <c r="LBB47" s="32" t="s">
        <v>92</v>
      </c>
      <c r="LBC47" s="8" t="s">
        <v>132</v>
      </c>
      <c r="LBD47" s="22" t="s">
        <v>46</v>
      </c>
      <c r="LBE47" s="8" t="s">
        <v>433</v>
      </c>
      <c r="LBF47" s="32" t="s">
        <v>92</v>
      </c>
      <c r="LBG47" s="8" t="s">
        <v>132</v>
      </c>
      <c r="LBH47" s="22" t="s">
        <v>46</v>
      </c>
      <c r="LBI47" s="8" t="s">
        <v>433</v>
      </c>
      <c r="LBJ47" s="32" t="s">
        <v>92</v>
      </c>
      <c r="LBK47" s="8" t="s">
        <v>132</v>
      </c>
      <c r="LBL47" s="22" t="s">
        <v>46</v>
      </c>
      <c r="LBM47" s="8" t="s">
        <v>433</v>
      </c>
      <c r="LBN47" s="32" t="s">
        <v>92</v>
      </c>
      <c r="LBO47" s="8" t="s">
        <v>132</v>
      </c>
      <c r="LBP47" s="22" t="s">
        <v>46</v>
      </c>
      <c r="LBQ47" s="8" t="s">
        <v>433</v>
      </c>
      <c r="LBR47" s="32" t="s">
        <v>92</v>
      </c>
      <c r="LBS47" s="8" t="s">
        <v>132</v>
      </c>
      <c r="LBT47" s="22" t="s">
        <v>46</v>
      </c>
      <c r="LBU47" s="8" t="s">
        <v>433</v>
      </c>
      <c r="LBV47" s="32" t="s">
        <v>92</v>
      </c>
      <c r="LBW47" s="8" t="s">
        <v>132</v>
      </c>
      <c r="LBX47" s="22" t="s">
        <v>46</v>
      </c>
      <c r="LBY47" s="8" t="s">
        <v>433</v>
      </c>
      <c r="LBZ47" s="32" t="s">
        <v>92</v>
      </c>
      <c r="LCA47" s="8" t="s">
        <v>132</v>
      </c>
      <c r="LCB47" s="22" t="s">
        <v>46</v>
      </c>
      <c r="LCC47" s="8" t="s">
        <v>433</v>
      </c>
      <c r="LCD47" s="32" t="s">
        <v>92</v>
      </c>
      <c r="LCE47" s="8" t="s">
        <v>132</v>
      </c>
      <c r="LCF47" s="22" t="s">
        <v>46</v>
      </c>
      <c r="LCG47" s="8" t="s">
        <v>433</v>
      </c>
      <c r="LCH47" s="32" t="s">
        <v>92</v>
      </c>
      <c r="LCI47" s="8" t="s">
        <v>132</v>
      </c>
      <c r="LCJ47" s="22" t="s">
        <v>46</v>
      </c>
      <c r="LCK47" s="8" t="s">
        <v>433</v>
      </c>
      <c r="LCL47" s="32" t="s">
        <v>92</v>
      </c>
      <c r="LCM47" s="8" t="s">
        <v>132</v>
      </c>
      <c r="LCN47" s="22" t="s">
        <v>46</v>
      </c>
      <c r="LCO47" s="8" t="s">
        <v>433</v>
      </c>
      <c r="LCP47" s="32" t="s">
        <v>92</v>
      </c>
      <c r="LCQ47" s="8" t="s">
        <v>132</v>
      </c>
      <c r="LCR47" s="22" t="s">
        <v>46</v>
      </c>
      <c r="LCS47" s="8" t="s">
        <v>433</v>
      </c>
      <c r="LCT47" s="32" t="s">
        <v>92</v>
      </c>
      <c r="LCU47" s="8" t="s">
        <v>132</v>
      </c>
      <c r="LCV47" s="22" t="s">
        <v>46</v>
      </c>
      <c r="LCW47" s="8" t="s">
        <v>433</v>
      </c>
      <c r="LCX47" s="32" t="s">
        <v>92</v>
      </c>
      <c r="LCY47" s="8" t="s">
        <v>132</v>
      </c>
      <c r="LCZ47" s="22" t="s">
        <v>46</v>
      </c>
      <c r="LDA47" s="8" t="s">
        <v>433</v>
      </c>
      <c r="LDB47" s="32" t="s">
        <v>92</v>
      </c>
      <c r="LDC47" s="8" t="s">
        <v>132</v>
      </c>
      <c r="LDD47" s="22" t="s">
        <v>46</v>
      </c>
      <c r="LDE47" s="8" t="s">
        <v>433</v>
      </c>
      <c r="LDF47" s="32" t="s">
        <v>92</v>
      </c>
      <c r="LDG47" s="8" t="s">
        <v>132</v>
      </c>
      <c r="LDH47" s="22" t="s">
        <v>46</v>
      </c>
      <c r="LDI47" s="8" t="s">
        <v>433</v>
      </c>
      <c r="LDJ47" s="32" t="s">
        <v>92</v>
      </c>
      <c r="LDK47" s="8" t="s">
        <v>132</v>
      </c>
      <c r="LDL47" s="22" t="s">
        <v>46</v>
      </c>
      <c r="LDM47" s="8" t="s">
        <v>433</v>
      </c>
      <c r="LDN47" s="32" t="s">
        <v>92</v>
      </c>
      <c r="LDO47" s="8" t="s">
        <v>132</v>
      </c>
      <c r="LDP47" s="22" t="s">
        <v>46</v>
      </c>
      <c r="LDQ47" s="8" t="s">
        <v>433</v>
      </c>
      <c r="LDR47" s="32" t="s">
        <v>92</v>
      </c>
      <c r="LDS47" s="8" t="s">
        <v>132</v>
      </c>
      <c r="LDT47" s="22" t="s">
        <v>46</v>
      </c>
      <c r="LDU47" s="8" t="s">
        <v>433</v>
      </c>
      <c r="LDV47" s="32" t="s">
        <v>92</v>
      </c>
      <c r="LDW47" s="8" t="s">
        <v>132</v>
      </c>
      <c r="LDX47" s="22" t="s">
        <v>46</v>
      </c>
      <c r="LDY47" s="8" t="s">
        <v>433</v>
      </c>
      <c r="LDZ47" s="32" t="s">
        <v>92</v>
      </c>
      <c r="LEA47" s="8" t="s">
        <v>132</v>
      </c>
      <c r="LEB47" s="22" t="s">
        <v>46</v>
      </c>
      <c r="LEC47" s="8" t="s">
        <v>433</v>
      </c>
      <c r="LED47" s="32" t="s">
        <v>92</v>
      </c>
      <c r="LEE47" s="8" t="s">
        <v>132</v>
      </c>
      <c r="LEF47" s="22" t="s">
        <v>46</v>
      </c>
      <c r="LEG47" s="8" t="s">
        <v>433</v>
      </c>
      <c r="LEH47" s="32" t="s">
        <v>92</v>
      </c>
      <c r="LEI47" s="8" t="s">
        <v>132</v>
      </c>
      <c r="LEJ47" s="22" t="s">
        <v>46</v>
      </c>
      <c r="LEK47" s="8" t="s">
        <v>433</v>
      </c>
      <c r="LEL47" s="32" t="s">
        <v>92</v>
      </c>
      <c r="LEM47" s="8" t="s">
        <v>132</v>
      </c>
      <c r="LEN47" s="22" t="s">
        <v>46</v>
      </c>
      <c r="LEO47" s="8" t="s">
        <v>433</v>
      </c>
      <c r="LEP47" s="32" t="s">
        <v>92</v>
      </c>
      <c r="LEQ47" s="8" t="s">
        <v>132</v>
      </c>
      <c r="LER47" s="22" t="s">
        <v>46</v>
      </c>
      <c r="LES47" s="8" t="s">
        <v>433</v>
      </c>
      <c r="LET47" s="32" t="s">
        <v>92</v>
      </c>
      <c r="LEU47" s="8" t="s">
        <v>132</v>
      </c>
      <c r="LEV47" s="22" t="s">
        <v>46</v>
      </c>
      <c r="LEW47" s="8" t="s">
        <v>433</v>
      </c>
      <c r="LEX47" s="32" t="s">
        <v>92</v>
      </c>
      <c r="LEY47" s="8" t="s">
        <v>132</v>
      </c>
      <c r="LEZ47" s="22" t="s">
        <v>46</v>
      </c>
      <c r="LFA47" s="8" t="s">
        <v>433</v>
      </c>
      <c r="LFB47" s="32" t="s">
        <v>92</v>
      </c>
      <c r="LFC47" s="8" t="s">
        <v>132</v>
      </c>
      <c r="LFD47" s="22" t="s">
        <v>46</v>
      </c>
      <c r="LFE47" s="8" t="s">
        <v>433</v>
      </c>
      <c r="LFF47" s="32" t="s">
        <v>92</v>
      </c>
      <c r="LFG47" s="8" t="s">
        <v>132</v>
      </c>
      <c r="LFH47" s="22" t="s">
        <v>46</v>
      </c>
      <c r="LFI47" s="8" t="s">
        <v>433</v>
      </c>
      <c r="LFJ47" s="32" t="s">
        <v>92</v>
      </c>
      <c r="LFK47" s="8" t="s">
        <v>132</v>
      </c>
      <c r="LFL47" s="22" t="s">
        <v>46</v>
      </c>
      <c r="LFM47" s="8" t="s">
        <v>433</v>
      </c>
      <c r="LFN47" s="32" t="s">
        <v>92</v>
      </c>
      <c r="LFO47" s="8" t="s">
        <v>132</v>
      </c>
      <c r="LFP47" s="22" t="s">
        <v>46</v>
      </c>
      <c r="LFQ47" s="8" t="s">
        <v>433</v>
      </c>
      <c r="LFR47" s="32" t="s">
        <v>92</v>
      </c>
      <c r="LFS47" s="8" t="s">
        <v>132</v>
      </c>
      <c r="LFT47" s="22" t="s">
        <v>46</v>
      </c>
      <c r="LFU47" s="8" t="s">
        <v>433</v>
      </c>
      <c r="LFV47" s="32" t="s">
        <v>92</v>
      </c>
      <c r="LFW47" s="8" t="s">
        <v>132</v>
      </c>
      <c r="LFX47" s="22" t="s">
        <v>46</v>
      </c>
      <c r="LFY47" s="8" t="s">
        <v>433</v>
      </c>
      <c r="LFZ47" s="32" t="s">
        <v>92</v>
      </c>
      <c r="LGA47" s="8" t="s">
        <v>132</v>
      </c>
      <c r="LGB47" s="22" t="s">
        <v>46</v>
      </c>
      <c r="LGC47" s="8" t="s">
        <v>433</v>
      </c>
      <c r="LGD47" s="32" t="s">
        <v>92</v>
      </c>
      <c r="LGE47" s="8" t="s">
        <v>132</v>
      </c>
      <c r="LGF47" s="22" t="s">
        <v>46</v>
      </c>
      <c r="LGG47" s="8" t="s">
        <v>433</v>
      </c>
      <c r="LGH47" s="32" t="s">
        <v>92</v>
      </c>
      <c r="LGI47" s="8" t="s">
        <v>132</v>
      </c>
      <c r="LGJ47" s="22" t="s">
        <v>46</v>
      </c>
      <c r="LGK47" s="8" t="s">
        <v>433</v>
      </c>
      <c r="LGL47" s="32" t="s">
        <v>92</v>
      </c>
      <c r="LGM47" s="8" t="s">
        <v>132</v>
      </c>
      <c r="LGN47" s="22" t="s">
        <v>46</v>
      </c>
      <c r="LGO47" s="8" t="s">
        <v>433</v>
      </c>
      <c r="LGP47" s="32" t="s">
        <v>92</v>
      </c>
      <c r="LGQ47" s="8" t="s">
        <v>132</v>
      </c>
      <c r="LGR47" s="22" t="s">
        <v>46</v>
      </c>
      <c r="LGS47" s="8" t="s">
        <v>433</v>
      </c>
      <c r="LGT47" s="32" t="s">
        <v>92</v>
      </c>
      <c r="LGU47" s="8" t="s">
        <v>132</v>
      </c>
      <c r="LGV47" s="22" t="s">
        <v>46</v>
      </c>
      <c r="LGW47" s="8" t="s">
        <v>433</v>
      </c>
      <c r="LGX47" s="32" t="s">
        <v>92</v>
      </c>
      <c r="LGY47" s="8" t="s">
        <v>132</v>
      </c>
      <c r="LGZ47" s="22" t="s">
        <v>46</v>
      </c>
      <c r="LHA47" s="8" t="s">
        <v>433</v>
      </c>
      <c r="LHB47" s="32" t="s">
        <v>92</v>
      </c>
      <c r="LHC47" s="8" t="s">
        <v>132</v>
      </c>
      <c r="LHD47" s="22" t="s">
        <v>46</v>
      </c>
      <c r="LHE47" s="8" t="s">
        <v>433</v>
      </c>
      <c r="LHF47" s="32" t="s">
        <v>92</v>
      </c>
      <c r="LHG47" s="8" t="s">
        <v>132</v>
      </c>
      <c r="LHH47" s="22" t="s">
        <v>46</v>
      </c>
      <c r="LHI47" s="8" t="s">
        <v>433</v>
      </c>
      <c r="LHJ47" s="32" t="s">
        <v>92</v>
      </c>
      <c r="LHK47" s="8" t="s">
        <v>132</v>
      </c>
      <c r="LHL47" s="22" t="s">
        <v>46</v>
      </c>
      <c r="LHM47" s="8" t="s">
        <v>433</v>
      </c>
      <c r="LHN47" s="32" t="s">
        <v>92</v>
      </c>
      <c r="LHO47" s="8" t="s">
        <v>132</v>
      </c>
      <c r="LHP47" s="22" t="s">
        <v>46</v>
      </c>
      <c r="LHQ47" s="8" t="s">
        <v>433</v>
      </c>
      <c r="LHR47" s="32" t="s">
        <v>92</v>
      </c>
      <c r="LHS47" s="8" t="s">
        <v>132</v>
      </c>
      <c r="LHT47" s="22" t="s">
        <v>46</v>
      </c>
      <c r="LHU47" s="8" t="s">
        <v>433</v>
      </c>
      <c r="LHV47" s="32" t="s">
        <v>92</v>
      </c>
      <c r="LHW47" s="8" t="s">
        <v>132</v>
      </c>
      <c r="LHX47" s="22" t="s">
        <v>46</v>
      </c>
      <c r="LHY47" s="8" t="s">
        <v>433</v>
      </c>
      <c r="LHZ47" s="32" t="s">
        <v>92</v>
      </c>
      <c r="LIA47" s="8" t="s">
        <v>132</v>
      </c>
      <c r="LIB47" s="22" t="s">
        <v>46</v>
      </c>
      <c r="LIC47" s="8" t="s">
        <v>433</v>
      </c>
      <c r="LID47" s="32" t="s">
        <v>92</v>
      </c>
      <c r="LIE47" s="8" t="s">
        <v>132</v>
      </c>
      <c r="LIF47" s="22" t="s">
        <v>46</v>
      </c>
      <c r="LIG47" s="8" t="s">
        <v>433</v>
      </c>
      <c r="LIH47" s="32" t="s">
        <v>92</v>
      </c>
      <c r="LII47" s="8" t="s">
        <v>132</v>
      </c>
      <c r="LIJ47" s="22" t="s">
        <v>46</v>
      </c>
      <c r="LIK47" s="8" t="s">
        <v>433</v>
      </c>
      <c r="LIL47" s="32" t="s">
        <v>92</v>
      </c>
      <c r="LIM47" s="8" t="s">
        <v>132</v>
      </c>
      <c r="LIN47" s="22" t="s">
        <v>46</v>
      </c>
      <c r="LIO47" s="8" t="s">
        <v>433</v>
      </c>
      <c r="LIP47" s="32" t="s">
        <v>92</v>
      </c>
      <c r="LIQ47" s="8" t="s">
        <v>132</v>
      </c>
      <c r="LIR47" s="22" t="s">
        <v>46</v>
      </c>
      <c r="LIS47" s="8" t="s">
        <v>433</v>
      </c>
      <c r="LIT47" s="32" t="s">
        <v>92</v>
      </c>
      <c r="LIU47" s="8" t="s">
        <v>132</v>
      </c>
      <c r="LIV47" s="22" t="s">
        <v>46</v>
      </c>
      <c r="LIW47" s="8" t="s">
        <v>433</v>
      </c>
      <c r="LIX47" s="32" t="s">
        <v>92</v>
      </c>
      <c r="LIY47" s="8" t="s">
        <v>132</v>
      </c>
      <c r="LIZ47" s="22" t="s">
        <v>46</v>
      </c>
      <c r="LJA47" s="8" t="s">
        <v>433</v>
      </c>
      <c r="LJB47" s="32" t="s">
        <v>92</v>
      </c>
      <c r="LJC47" s="8" t="s">
        <v>132</v>
      </c>
      <c r="LJD47" s="22" t="s">
        <v>46</v>
      </c>
      <c r="LJE47" s="8" t="s">
        <v>433</v>
      </c>
      <c r="LJF47" s="32" t="s">
        <v>92</v>
      </c>
      <c r="LJG47" s="8" t="s">
        <v>132</v>
      </c>
      <c r="LJH47" s="22" t="s">
        <v>46</v>
      </c>
      <c r="LJI47" s="8" t="s">
        <v>433</v>
      </c>
      <c r="LJJ47" s="32" t="s">
        <v>92</v>
      </c>
      <c r="LJK47" s="8" t="s">
        <v>132</v>
      </c>
      <c r="LJL47" s="22" t="s">
        <v>46</v>
      </c>
      <c r="LJM47" s="8" t="s">
        <v>433</v>
      </c>
      <c r="LJN47" s="32" t="s">
        <v>92</v>
      </c>
      <c r="LJO47" s="8" t="s">
        <v>132</v>
      </c>
      <c r="LJP47" s="22" t="s">
        <v>46</v>
      </c>
      <c r="LJQ47" s="8" t="s">
        <v>433</v>
      </c>
      <c r="LJR47" s="32" t="s">
        <v>92</v>
      </c>
      <c r="LJS47" s="8" t="s">
        <v>132</v>
      </c>
      <c r="LJT47" s="22" t="s">
        <v>46</v>
      </c>
      <c r="LJU47" s="8" t="s">
        <v>433</v>
      </c>
      <c r="LJV47" s="32" t="s">
        <v>92</v>
      </c>
      <c r="LJW47" s="8" t="s">
        <v>132</v>
      </c>
      <c r="LJX47" s="22" t="s">
        <v>46</v>
      </c>
      <c r="LJY47" s="8" t="s">
        <v>433</v>
      </c>
      <c r="LJZ47" s="32" t="s">
        <v>92</v>
      </c>
      <c r="LKA47" s="8" t="s">
        <v>132</v>
      </c>
      <c r="LKB47" s="22" t="s">
        <v>46</v>
      </c>
      <c r="LKC47" s="8" t="s">
        <v>433</v>
      </c>
      <c r="LKD47" s="32" t="s">
        <v>92</v>
      </c>
      <c r="LKE47" s="8" t="s">
        <v>132</v>
      </c>
      <c r="LKF47" s="22" t="s">
        <v>46</v>
      </c>
      <c r="LKG47" s="8" t="s">
        <v>433</v>
      </c>
      <c r="LKH47" s="32" t="s">
        <v>92</v>
      </c>
      <c r="LKI47" s="8" t="s">
        <v>132</v>
      </c>
      <c r="LKJ47" s="22" t="s">
        <v>46</v>
      </c>
      <c r="LKK47" s="8" t="s">
        <v>433</v>
      </c>
      <c r="LKL47" s="32" t="s">
        <v>92</v>
      </c>
      <c r="LKM47" s="8" t="s">
        <v>132</v>
      </c>
      <c r="LKN47" s="22" t="s">
        <v>46</v>
      </c>
      <c r="LKO47" s="8" t="s">
        <v>433</v>
      </c>
      <c r="LKP47" s="32" t="s">
        <v>92</v>
      </c>
      <c r="LKQ47" s="8" t="s">
        <v>132</v>
      </c>
      <c r="LKR47" s="22" t="s">
        <v>46</v>
      </c>
      <c r="LKS47" s="8" t="s">
        <v>433</v>
      </c>
      <c r="LKT47" s="32" t="s">
        <v>92</v>
      </c>
      <c r="LKU47" s="8" t="s">
        <v>132</v>
      </c>
      <c r="LKV47" s="22" t="s">
        <v>46</v>
      </c>
      <c r="LKW47" s="8" t="s">
        <v>433</v>
      </c>
      <c r="LKX47" s="32" t="s">
        <v>92</v>
      </c>
      <c r="LKY47" s="8" t="s">
        <v>132</v>
      </c>
      <c r="LKZ47" s="22" t="s">
        <v>46</v>
      </c>
      <c r="LLA47" s="8" t="s">
        <v>433</v>
      </c>
      <c r="LLB47" s="32" t="s">
        <v>92</v>
      </c>
      <c r="LLC47" s="8" t="s">
        <v>132</v>
      </c>
      <c r="LLD47" s="22" t="s">
        <v>46</v>
      </c>
      <c r="LLE47" s="8" t="s">
        <v>433</v>
      </c>
      <c r="LLF47" s="32" t="s">
        <v>92</v>
      </c>
      <c r="LLG47" s="8" t="s">
        <v>132</v>
      </c>
      <c r="LLH47" s="22" t="s">
        <v>46</v>
      </c>
      <c r="LLI47" s="8" t="s">
        <v>433</v>
      </c>
      <c r="LLJ47" s="32" t="s">
        <v>92</v>
      </c>
      <c r="LLK47" s="8" t="s">
        <v>132</v>
      </c>
      <c r="LLL47" s="22" t="s">
        <v>46</v>
      </c>
      <c r="LLM47" s="8" t="s">
        <v>433</v>
      </c>
      <c r="LLN47" s="32" t="s">
        <v>92</v>
      </c>
      <c r="LLO47" s="8" t="s">
        <v>132</v>
      </c>
      <c r="LLP47" s="22" t="s">
        <v>46</v>
      </c>
      <c r="LLQ47" s="8" t="s">
        <v>433</v>
      </c>
      <c r="LLR47" s="32" t="s">
        <v>92</v>
      </c>
      <c r="LLS47" s="8" t="s">
        <v>132</v>
      </c>
      <c r="LLT47" s="22" t="s">
        <v>46</v>
      </c>
      <c r="LLU47" s="8" t="s">
        <v>433</v>
      </c>
      <c r="LLV47" s="32" t="s">
        <v>92</v>
      </c>
      <c r="LLW47" s="8" t="s">
        <v>132</v>
      </c>
      <c r="LLX47" s="22" t="s">
        <v>46</v>
      </c>
      <c r="LLY47" s="8" t="s">
        <v>433</v>
      </c>
      <c r="LLZ47" s="32" t="s">
        <v>92</v>
      </c>
      <c r="LMA47" s="8" t="s">
        <v>132</v>
      </c>
      <c r="LMB47" s="22" t="s">
        <v>46</v>
      </c>
      <c r="LMC47" s="8" t="s">
        <v>433</v>
      </c>
      <c r="LMD47" s="32" t="s">
        <v>92</v>
      </c>
      <c r="LME47" s="8" t="s">
        <v>132</v>
      </c>
      <c r="LMF47" s="22" t="s">
        <v>46</v>
      </c>
      <c r="LMG47" s="8" t="s">
        <v>433</v>
      </c>
      <c r="LMH47" s="32" t="s">
        <v>92</v>
      </c>
      <c r="LMI47" s="8" t="s">
        <v>132</v>
      </c>
      <c r="LMJ47" s="22" t="s">
        <v>46</v>
      </c>
      <c r="LMK47" s="8" t="s">
        <v>433</v>
      </c>
      <c r="LML47" s="32" t="s">
        <v>92</v>
      </c>
      <c r="LMM47" s="8" t="s">
        <v>132</v>
      </c>
      <c r="LMN47" s="22" t="s">
        <v>46</v>
      </c>
      <c r="LMO47" s="8" t="s">
        <v>433</v>
      </c>
      <c r="LMP47" s="32" t="s">
        <v>92</v>
      </c>
      <c r="LMQ47" s="8" t="s">
        <v>132</v>
      </c>
      <c r="LMR47" s="22" t="s">
        <v>46</v>
      </c>
      <c r="LMS47" s="8" t="s">
        <v>433</v>
      </c>
      <c r="LMT47" s="32" t="s">
        <v>92</v>
      </c>
      <c r="LMU47" s="8" t="s">
        <v>132</v>
      </c>
      <c r="LMV47" s="22" t="s">
        <v>46</v>
      </c>
      <c r="LMW47" s="8" t="s">
        <v>433</v>
      </c>
      <c r="LMX47" s="32" t="s">
        <v>92</v>
      </c>
      <c r="LMY47" s="8" t="s">
        <v>132</v>
      </c>
      <c r="LMZ47" s="22" t="s">
        <v>46</v>
      </c>
      <c r="LNA47" s="8" t="s">
        <v>433</v>
      </c>
      <c r="LNB47" s="32" t="s">
        <v>92</v>
      </c>
      <c r="LNC47" s="8" t="s">
        <v>132</v>
      </c>
      <c r="LND47" s="22" t="s">
        <v>46</v>
      </c>
      <c r="LNE47" s="8" t="s">
        <v>433</v>
      </c>
      <c r="LNF47" s="32" t="s">
        <v>92</v>
      </c>
      <c r="LNG47" s="8" t="s">
        <v>132</v>
      </c>
      <c r="LNH47" s="22" t="s">
        <v>46</v>
      </c>
      <c r="LNI47" s="8" t="s">
        <v>433</v>
      </c>
      <c r="LNJ47" s="32" t="s">
        <v>92</v>
      </c>
      <c r="LNK47" s="8" t="s">
        <v>132</v>
      </c>
      <c r="LNL47" s="22" t="s">
        <v>46</v>
      </c>
      <c r="LNM47" s="8" t="s">
        <v>433</v>
      </c>
      <c r="LNN47" s="32" t="s">
        <v>92</v>
      </c>
      <c r="LNO47" s="8" t="s">
        <v>132</v>
      </c>
      <c r="LNP47" s="22" t="s">
        <v>46</v>
      </c>
      <c r="LNQ47" s="8" t="s">
        <v>433</v>
      </c>
      <c r="LNR47" s="32" t="s">
        <v>92</v>
      </c>
      <c r="LNS47" s="8" t="s">
        <v>132</v>
      </c>
      <c r="LNT47" s="22" t="s">
        <v>46</v>
      </c>
      <c r="LNU47" s="8" t="s">
        <v>433</v>
      </c>
      <c r="LNV47" s="32" t="s">
        <v>92</v>
      </c>
      <c r="LNW47" s="8" t="s">
        <v>132</v>
      </c>
      <c r="LNX47" s="22" t="s">
        <v>46</v>
      </c>
      <c r="LNY47" s="8" t="s">
        <v>433</v>
      </c>
      <c r="LNZ47" s="32" t="s">
        <v>92</v>
      </c>
      <c r="LOA47" s="8" t="s">
        <v>132</v>
      </c>
      <c r="LOB47" s="22" t="s">
        <v>46</v>
      </c>
      <c r="LOC47" s="8" t="s">
        <v>433</v>
      </c>
      <c r="LOD47" s="32" t="s">
        <v>92</v>
      </c>
      <c r="LOE47" s="8" t="s">
        <v>132</v>
      </c>
      <c r="LOF47" s="22" t="s">
        <v>46</v>
      </c>
      <c r="LOG47" s="8" t="s">
        <v>433</v>
      </c>
      <c r="LOH47" s="32" t="s">
        <v>92</v>
      </c>
      <c r="LOI47" s="8" t="s">
        <v>132</v>
      </c>
      <c r="LOJ47" s="22" t="s">
        <v>46</v>
      </c>
      <c r="LOK47" s="8" t="s">
        <v>433</v>
      </c>
      <c r="LOL47" s="32" t="s">
        <v>92</v>
      </c>
      <c r="LOM47" s="8" t="s">
        <v>132</v>
      </c>
      <c r="LON47" s="22" t="s">
        <v>46</v>
      </c>
      <c r="LOO47" s="8" t="s">
        <v>433</v>
      </c>
      <c r="LOP47" s="32" t="s">
        <v>92</v>
      </c>
      <c r="LOQ47" s="8" t="s">
        <v>132</v>
      </c>
      <c r="LOR47" s="22" t="s">
        <v>46</v>
      </c>
      <c r="LOS47" s="8" t="s">
        <v>433</v>
      </c>
      <c r="LOT47" s="32" t="s">
        <v>92</v>
      </c>
      <c r="LOU47" s="8" t="s">
        <v>132</v>
      </c>
      <c r="LOV47" s="22" t="s">
        <v>46</v>
      </c>
      <c r="LOW47" s="8" t="s">
        <v>433</v>
      </c>
      <c r="LOX47" s="32" t="s">
        <v>92</v>
      </c>
      <c r="LOY47" s="8" t="s">
        <v>132</v>
      </c>
      <c r="LOZ47" s="22" t="s">
        <v>46</v>
      </c>
      <c r="LPA47" s="8" t="s">
        <v>433</v>
      </c>
      <c r="LPB47" s="32" t="s">
        <v>92</v>
      </c>
      <c r="LPC47" s="8" t="s">
        <v>132</v>
      </c>
      <c r="LPD47" s="22" t="s">
        <v>46</v>
      </c>
      <c r="LPE47" s="8" t="s">
        <v>433</v>
      </c>
      <c r="LPF47" s="32" t="s">
        <v>92</v>
      </c>
      <c r="LPG47" s="8" t="s">
        <v>132</v>
      </c>
      <c r="LPH47" s="22" t="s">
        <v>46</v>
      </c>
      <c r="LPI47" s="8" t="s">
        <v>433</v>
      </c>
      <c r="LPJ47" s="32" t="s">
        <v>92</v>
      </c>
      <c r="LPK47" s="8" t="s">
        <v>132</v>
      </c>
      <c r="LPL47" s="22" t="s">
        <v>46</v>
      </c>
      <c r="LPM47" s="8" t="s">
        <v>433</v>
      </c>
      <c r="LPN47" s="32" t="s">
        <v>92</v>
      </c>
      <c r="LPO47" s="8" t="s">
        <v>132</v>
      </c>
      <c r="LPP47" s="22" t="s">
        <v>46</v>
      </c>
      <c r="LPQ47" s="8" t="s">
        <v>433</v>
      </c>
      <c r="LPR47" s="32" t="s">
        <v>92</v>
      </c>
      <c r="LPS47" s="8" t="s">
        <v>132</v>
      </c>
      <c r="LPT47" s="22" t="s">
        <v>46</v>
      </c>
      <c r="LPU47" s="8" t="s">
        <v>433</v>
      </c>
      <c r="LPV47" s="32" t="s">
        <v>92</v>
      </c>
      <c r="LPW47" s="8" t="s">
        <v>132</v>
      </c>
      <c r="LPX47" s="22" t="s">
        <v>46</v>
      </c>
      <c r="LPY47" s="8" t="s">
        <v>433</v>
      </c>
      <c r="LPZ47" s="32" t="s">
        <v>92</v>
      </c>
      <c r="LQA47" s="8" t="s">
        <v>132</v>
      </c>
      <c r="LQB47" s="22" t="s">
        <v>46</v>
      </c>
      <c r="LQC47" s="8" t="s">
        <v>433</v>
      </c>
      <c r="LQD47" s="32" t="s">
        <v>92</v>
      </c>
      <c r="LQE47" s="8" t="s">
        <v>132</v>
      </c>
      <c r="LQF47" s="22" t="s">
        <v>46</v>
      </c>
      <c r="LQG47" s="8" t="s">
        <v>433</v>
      </c>
      <c r="LQH47" s="32" t="s">
        <v>92</v>
      </c>
      <c r="LQI47" s="8" t="s">
        <v>132</v>
      </c>
      <c r="LQJ47" s="22" t="s">
        <v>46</v>
      </c>
      <c r="LQK47" s="8" t="s">
        <v>433</v>
      </c>
      <c r="LQL47" s="32" t="s">
        <v>92</v>
      </c>
      <c r="LQM47" s="8" t="s">
        <v>132</v>
      </c>
      <c r="LQN47" s="22" t="s">
        <v>46</v>
      </c>
      <c r="LQO47" s="8" t="s">
        <v>433</v>
      </c>
      <c r="LQP47" s="32" t="s">
        <v>92</v>
      </c>
      <c r="LQQ47" s="8" t="s">
        <v>132</v>
      </c>
      <c r="LQR47" s="22" t="s">
        <v>46</v>
      </c>
      <c r="LQS47" s="8" t="s">
        <v>433</v>
      </c>
      <c r="LQT47" s="32" t="s">
        <v>92</v>
      </c>
      <c r="LQU47" s="8" t="s">
        <v>132</v>
      </c>
      <c r="LQV47" s="22" t="s">
        <v>46</v>
      </c>
      <c r="LQW47" s="8" t="s">
        <v>433</v>
      </c>
      <c r="LQX47" s="32" t="s">
        <v>92</v>
      </c>
      <c r="LQY47" s="8" t="s">
        <v>132</v>
      </c>
      <c r="LQZ47" s="22" t="s">
        <v>46</v>
      </c>
      <c r="LRA47" s="8" t="s">
        <v>433</v>
      </c>
      <c r="LRB47" s="32" t="s">
        <v>92</v>
      </c>
      <c r="LRC47" s="8" t="s">
        <v>132</v>
      </c>
      <c r="LRD47" s="22" t="s">
        <v>46</v>
      </c>
      <c r="LRE47" s="8" t="s">
        <v>433</v>
      </c>
      <c r="LRF47" s="32" t="s">
        <v>92</v>
      </c>
      <c r="LRG47" s="8" t="s">
        <v>132</v>
      </c>
      <c r="LRH47" s="22" t="s">
        <v>46</v>
      </c>
      <c r="LRI47" s="8" t="s">
        <v>433</v>
      </c>
      <c r="LRJ47" s="32" t="s">
        <v>92</v>
      </c>
      <c r="LRK47" s="8" t="s">
        <v>132</v>
      </c>
      <c r="LRL47" s="22" t="s">
        <v>46</v>
      </c>
      <c r="LRM47" s="8" t="s">
        <v>433</v>
      </c>
      <c r="LRN47" s="32" t="s">
        <v>92</v>
      </c>
      <c r="LRO47" s="8" t="s">
        <v>132</v>
      </c>
      <c r="LRP47" s="22" t="s">
        <v>46</v>
      </c>
      <c r="LRQ47" s="8" t="s">
        <v>433</v>
      </c>
      <c r="LRR47" s="32" t="s">
        <v>92</v>
      </c>
      <c r="LRS47" s="8" t="s">
        <v>132</v>
      </c>
      <c r="LRT47" s="22" t="s">
        <v>46</v>
      </c>
      <c r="LRU47" s="8" t="s">
        <v>433</v>
      </c>
      <c r="LRV47" s="32" t="s">
        <v>92</v>
      </c>
      <c r="LRW47" s="8" t="s">
        <v>132</v>
      </c>
      <c r="LRX47" s="22" t="s">
        <v>46</v>
      </c>
      <c r="LRY47" s="8" t="s">
        <v>433</v>
      </c>
      <c r="LRZ47" s="32" t="s">
        <v>92</v>
      </c>
      <c r="LSA47" s="8" t="s">
        <v>132</v>
      </c>
      <c r="LSB47" s="22" t="s">
        <v>46</v>
      </c>
      <c r="LSC47" s="8" t="s">
        <v>433</v>
      </c>
      <c r="LSD47" s="32" t="s">
        <v>92</v>
      </c>
      <c r="LSE47" s="8" t="s">
        <v>132</v>
      </c>
      <c r="LSF47" s="22" t="s">
        <v>46</v>
      </c>
      <c r="LSG47" s="8" t="s">
        <v>433</v>
      </c>
      <c r="LSH47" s="32" t="s">
        <v>92</v>
      </c>
      <c r="LSI47" s="8" t="s">
        <v>132</v>
      </c>
      <c r="LSJ47" s="22" t="s">
        <v>46</v>
      </c>
      <c r="LSK47" s="8" t="s">
        <v>433</v>
      </c>
      <c r="LSL47" s="32" t="s">
        <v>92</v>
      </c>
      <c r="LSM47" s="8" t="s">
        <v>132</v>
      </c>
      <c r="LSN47" s="22" t="s">
        <v>46</v>
      </c>
      <c r="LSO47" s="8" t="s">
        <v>433</v>
      </c>
      <c r="LSP47" s="32" t="s">
        <v>92</v>
      </c>
      <c r="LSQ47" s="8" t="s">
        <v>132</v>
      </c>
      <c r="LSR47" s="22" t="s">
        <v>46</v>
      </c>
      <c r="LSS47" s="8" t="s">
        <v>433</v>
      </c>
      <c r="LST47" s="32" t="s">
        <v>92</v>
      </c>
      <c r="LSU47" s="8" t="s">
        <v>132</v>
      </c>
      <c r="LSV47" s="22" t="s">
        <v>46</v>
      </c>
      <c r="LSW47" s="8" t="s">
        <v>433</v>
      </c>
      <c r="LSX47" s="32" t="s">
        <v>92</v>
      </c>
      <c r="LSY47" s="8" t="s">
        <v>132</v>
      </c>
      <c r="LSZ47" s="22" t="s">
        <v>46</v>
      </c>
      <c r="LTA47" s="8" t="s">
        <v>433</v>
      </c>
      <c r="LTB47" s="32" t="s">
        <v>92</v>
      </c>
      <c r="LTC47" s="8" t="s">
        <v>132</v>
      </c>
      <c r="LTD47" s="22" t="s">
        <v>46</v>
      </c>
      <c r="LTE47" s="8" t="s">
        <v>433</v>
      </c>
      <c r="LTF47" s="32" t="s">
        <v>92</v>
      </c>
      <c r="LTG47" s="8" t="s">
        <v>132</v>
      </c>
      <c r="LTH47" s="22" t="s">
        <v>46</v>
      </c>
      <c r="LTI47" s="8" t="s">
        <v>433</v>
      </c>
      <c r="LTJ47" s="32" t="s">
        <v>92</v>
      </c>
      <c r="LTK47" s="8" t="s">
        <v>132</v>
      </c>
      <c r="LTL47" s="22" t="s">
        <v>46</v>
      </c>
      <c r="LTM47" s="8" t="s">
        <v>433</v>
      </c>
      <c r="LTN47" s="32" t="s">
        <v>92</v>
      </c>
      <c r="LTO47" s="8" t="s">
        <v>132</v>
      </c>
      <c r="LTP47" s="22" t="s">
        <v>46</v>
      </c>
      <c r="LTQ47" s="8" t="s">
        <v>433</v>
      </c>
      <c r="LTR47" s="32" t="s">
        <v>92</v>
      </c>
      <c r="LTS47" s="8" t="s">
        <v>132</v>
      </c>
      <c r="LTT47" s="22" t="s">
        <v>46</v>
      </c>
      <c r="LTU47" s="8" t="s">
        <v>433</v>
      </c>
      <c r="LTV47" s="32" t="s">
        <v>92</v>
      </c>
      <c r="LTW47" s="8" t="s">
        <v>132</v>
      </c>
      <c r="LTX47" s="22" t="s">
        <v>46</v>
      </c>
      <c r="LTY47" s="8" t="s">
        <v>433</v>
      </c>
      <c r="LTZ47" s="32" t="s">
        <v>92</v>
      </c>
      <c r="LUA47" s="8" t="s">
        <v>132</v>
      </c>
      <c r="LUB47" s="22" t="s">
        <v>46</v>
      </c>
      <c r="LUC47" s="8" t="s">
        <v>433</v>
      </c>
      <c r="LUD47" s="32" t="s">
        <v>92</v>
      </c>
      <c r="LUE47" s="8" t="s">
        <v>132</v>
      </c>
      <c r="LUF47" s="22" t="s">
        <v>46</v>
      </c>
      <c r="LUG47" s="8" t="s">
        <v>433</v>
      </c>
      <c r="LUH47" s="32" t="s">
        <v>92</v>
      </c>
      <c r="LUI47" s="8" t="s">
        <v>132</v>
      </c>
      <c r="LUJ47" s="22" t="s">
        <v>46</v>
      </c>
      <c r="LUK47" s="8" t="s">
        <v>433</v>
      </c>
      <c r="LUL47" s="32" t="s">
        <v>92</v>
      </c>
      <c r="LUM47" s="8" t="s">
        <v>132</v>
      </c>
      <c r="LUN47" s="22" t="s">
        <v>46</v>
      </c>
      <c r="LUO47" s="8" t="s">
        <v>433</v>
      </c>
      <c r="LUP47" s="32" t="s">
        <v>92</v>
      </c>
      <c r="LUQ47" s="8" t="s">
        <v>132</v>
      </c>
      <c r="LUR47" s="22" t="s">
        <v>46</v>
      </c>
      <c r="LUS47" s="8" t="s">
        <v>433</v>
      </c>
      <c r="LUT47" s="32" t="s">
        <v>92</v>
      </c>
      <c r="LUU47" s="8" t="s">
        <v>132</v>
      </c>
      <c r="LUV47" s="22" t="s">
        <v>46</v>
      </c>
      <c r="LUW47" s="8" t="s">
        <v>433</v>
      </c>
      <c r="LUX47" s="32" t="s">
        <v>92</v>
      </c>
      <c r="LUY47" s="8" t="s">
        <v>132</v>
      </c>
      <c r="LUZ47" s="22" t="s">
        <v>46</v>
      </c>
      <c r="LVA47" s="8" t="s">
        <v>433</v>
      </c>
      <c r="LVB47" s="32" t="s">
        <v>92</v>
      </c>
      <c r="LVC47" s="8" t="s">
        <v>132</v>
      </c>
      <c r="LVD47" s="22" t="s">
        <v>46</v>
      </c>
      <c r="LVE47" s="8" t="s">
        <v>433</v>
      </c>
      <c r="LVF47" s="32" t="s">
        <v>92</v>
      </c>
      <c r="LVG47" s="8" t="s">
        <v>132</v>
      </c>
      <c r="LVH47" s="22" t="s">
        <v>46</v>
      </c>
      <c r="LVI47" s="8" t="s">
        <v>433</v>
      </c>
      <c r="LVJ47" s="32" t="s">
        <v>92</v>
      </c>
      <c r="LVK47" s="8" t="s">
        <v>132</v>
      </c>
      <c r="LVL47" s="22" t="s">
        <v>46</v>
      </c>
      <c r="LVM47" s="8" t="s">
        <v>433</v>
      </c>
      <c r="LVN47" s="32" t="s">
        <v>92</v>
      </c>
      <c r="LVO47" s="8" t="s">
        <v>132</v>
      </c>
      <c r="LVP47" s="22" t="s">
        <v>46</v>
      </c>
      <c r="LVQ47" s="8" t="s">
        <v>433</v>
      </c>
      <c r="LVR47" s="32" t="s">
        <v>92</v>
      </c>
      <c r="LVS47" s="8" t="s">
        <v>132</v>
      </c>
      <c r="LVT47" s="22" t="s">
        <v>46</v>
      </c>
      <c r="LVU47" s="8" t="s">
        <v>433</v>
      </c>
      <c r="LVV47" s="32" t="s">
        <v>92</v>
      </c>
      <c r="LVW47" s="8" t="s">
        <v>132</v>
      </c>
      <c r="LVX47" s="22" t="s">
        <v>46</v>
      </c>
      <c r="LVY47" s="8" t="s">
        <v>433</v>
      </c>
      <c r="LVZ47" s="32" t="s">
        <v>92</v>
      </c>
      <c r="LWA47" s="8" t="s">
        <v>132</v>
      </c>
      <c r="LWB47" s="22" t="s">
        <v>46</v>
      </c>
      <c r="LWC47" s="8" t="s">
        <v>433</v>
      </c>
      <c r="LWD47" s="32" t="s">
        <v>92</v>
      </c>
      <c r="LWE47" s="8" t="s">
        <v>132</v>
      </c>
      <c r="LWF47" s="22" t="s">
        <v>46</v>
      </c>
      <c r="LWG47" s="8" t="s">
        <v>433</v>
      </c>
      <c r="LWH47" s="32" t="s">
        <v>92</v>
      </c>
      <c r="LWI47" s="8" t="s">
        <v>132</v>
      </c>
      <c r="LWJ47" s="22" t="s">
        <v>46</v>
      </c>
      <c r="LWK47" s="8" t="s">
        <v>433</v>
      </c>
      <c r="LWL47" s="32" t="s">
        <v>92</v>
      </c>
      <c r="LWM47" s="8" t="s">
        <v>132</v>
      </c>
      <c r="LWN47" s="22" t="s">
        <v>46</v>
      </c>
      <c r="LWO47" s="8" t="s">
        <v>433</v>
      </c>
      <c r="LWP47" s="32" t="s">
        <v>92</v>
      </c>
      <c r="LWQ47" s="8" t="s">
        <v>132</v>
      </c>
      <c r="LWR47" s="22" t="s">
        <v>46</v>
      </c>
      <c r="LWS47" s="8" t="s">
        <v>433</v>
      </c>
      <c r="LWT47" s="32" t="s">
        <v>92</v>
      </c>
      <c r="LWU47" s="8" t="s">
        <v>132</v>
      </c>
      <c r="LWV47" s="22" t="s">
        <v>46</v>
      </c>
      <c r="LWW47" s="8" t="s">
        <v>433</v>
      </c>
      <c r="LWX47" s="32" t="s">
        <v>92</v>
      </c>
      <c r="LWY47" s="8" t="s">
        <v>132</v>
      </c>
      <c r="LWZ47" s="22" t="s">
        <v>46</v>
      </c>
      <c r="LXA47" s="8" t="s">
        <v>433</v>
      </c>
      <c r="LXB47" s="32" t="s">
        <v>92</v>
      </c>
      <c r="LXC47" s="8" t="s">
        <v>132</v>
      </c>
      <c r="LXD47" s="22" t="s">
        <v>46</v>
      </c>
      <c r="LXE47" s="8" t="s">
        <v>433</v>
      </c>
      <c r="LXF47" s="32" t="s">
        <v>92</v>
      </c>
      <c r="LXG47" s="8" t="s">
        <v>132</v>
      </c>
      <c r="LXH47" s="22" t="s">
        <v>46</v>
      </c>
      <c r="LXI47" s="8" t="s">
        <v>433</v>
      </c>
      <c r="LXJ47" s="32" t="s">
        <v>92</v>
      </c>
      <c r="LXK47" s="8" t="s">
        <v>132</v>
      </c>
      <c r="LXL47" s="22" t="s">
        <v>46</v>
      </c>
      <c r="LXM47" s="8" t="s">
        <v>433</v>
      </c>
      <c r="LXN47" s="32" t="s">
        <v>92</v>
      </c>
      <c r="LXO47" s="8" t="s">
        <v>132</v>
      </c>
      <c r="LXP47" s="22" t="s">
        <v>46</v>
      </c>
      <c r="LXQ47" s="8" t="s">
        <v>433</v>
      </c>
      <c r="LXR47" s="32" t="s">
        <v>92</v>
      </c>
      <c r="LXS47" s="8" t="s">
        <v>132</v>
      </c>
      <c r="LXT47" s="22" t="s">
        <v>46</v>
      </c>
      <c r="LXU47" s="8" t="s">
        <v>433</v>
      </c>
      <c r="LXV47" s="32" t="s">
        <v>92</v>
      </c>
      <c r="LXW47" s="8" t="s">
        <v>132</v>
      </c>
      <c r="LXX47" s="22" t="s">
        <v>46</v>
      </c>
      <c r="LXY47" s="8" t="s">
        <v>433</v>
      </c>
      <c r="LXZ47" s="32" t="s">
        <v>92</v>
      </c>
      <c r="LYA47" s="8" t="s">
        <v>132</v>
      </c>
      <c r="LYB47" s="22" t="s">
        <v>46</v>
      </c>
      <c r="LYC47" s="8" t="s">
        <v>433</v>
      </c>
      <c r="LYD47" s="32" t="s">
        <v>92</v>
      </c>
      <c r="LYE47" s="8" t="s">
        <v>132</v>
      </c>
      <c r="LYF47" s="22" t="s">
        <v>46</v>
      </c>
      <c r="LYG47" s="8" t="s">
        <v>433</v>
      </c>
      <c r="LYH47" s="32" t="s">
        <v>92</v>
      </c>
      <c r="LYI47" s="8" t="s">
        <v>132</v>
      </c>
      <c r="LYJ47" s="22" t="s">
        <v>46</v>
      </c>
      <c r="LYK47" s="8" t="s">
        <v>433</v>
      </c>
      <c r="LYL47" s="32" t="s">
        <v>92</v>
      </c>
      <c r="LYM47" s="8" t="s">
        <v>132</v>
      </c>
      <c r="LYN47" s="22" t="s">
        <v>46</v>
      </c>
      <c r="LYO47" s="8" t="s">
        <v>433</v>
      </c>
      <c r="LYP47" s="32" t="s">
        <v>92</v>
      </c>
      <c r="LYQ47" s="8" t="s">
        <v>132</v>
      </c>
      <c r="LYR47" s="22" t="s">
        <v>46</v>
      </c>
      <c r="LYS47" s="8" t="s">
        <v>433</v>
      </c>
      <c r="LYT47" s="32" t="s">
        <v>92</v>
      </c>
      <c r="LYU47" s="8" t="s">
        <v>132</v>
      </c>
      <c r="LYV47" s="22" t="s">
        <v>46</v>
      </c>
      <c r="LYW47" s="8" t="s">
        <v>433</v>
      </c>
      <c r="LYX47" s="32" t="s">
        <v>92</v>
      </c>
      <c r="LYY47" s="8" t="s">
        <v>132</v>
      </c>
      <c r="LYZ47" s="22" t="s">
        <v>46</v>
      </c>
      <c r="LZA47" s="8" t="s">
        <v>433</v>
      </c>
      <c r="LZB47" s="32" t="s">
        <v>92</v>
      </c>
      <c r="LZC47" s="8" t="s">
        <v>132</v>
      </c>
      <c r="LZD47" s="22" t="s">
        <v>46</v>
      </c>
      <c r="LZE47" s="8" t="s">
        <v>433</v>
      </c>
      <c r="LZF47" s="32" t="s">
        <v>92</v>
      </c>
      <c r="LZG47" s="8" t="s">
        <v>132</v>
      </c>
      <c r="LZH47" s="22" t="s">
        <v>46</v>
      </c>
      <c r="LZI47" s="8" t="s">
        <v>433</v>
      </c>
      <c r="LZJ47" s="32" t="s">
        <v>92</v>
      </c>
      <c r="LZK47" s="8" t="s">
        <v>132</v>
      </c>
      <c r="LZL47" s="22" t="s">
        <v>46</v>
      </c>
      <c r="LZM47" s="8" t="s">
        <v>433</v>
      </c>
      <c r="LZN47" s="32" t="s">
        <v>92</v>
      </c>
      <c r="LZO47" s="8" t="s">
        <v>132</v>
      </c>
      <c r="LZP47" s="22" t="s">
        <v>46</v>
      </c>
      <c r="LZQ47" s="8" t="s">
        <v>433</v>
      </c>
      <c r="LZR47" s="32" t="s">
        <v>92</v>
      </c>
      <c r="LZS47" s="8" t="s">
        <v>132</v>
      </c>
      <c r="LZT47" s="22" t="s">
        <v>46</v>
      </c>
      <c r="LZU47" s="8" t="s">
        <v>433</v>
      </c>
      <c r="LZV47" s="32" t="s">
        <v>92</v>
      </c>
      <c r="LZW47" s="8" t="s">
        <v>132</v>
      </c>
      <c r="LZX47" s="22" t="s">
        <v>46</v>
      </c>
      <c r="LZY47" s="8" t="s">
        <v>433</v>
      </c>
      <c r="LZZ47" s="32" t="s">
        <v>92</v>
      </c>
      <c r="MAA47" s="8" t="s">
        <v>132</v>
      </c>
      <c r="MAB47" s="22" t="s">
        <v>46</v>
      </c>
      <c r="MAC47" s="8" t="s">
        <v>433</v>
      </c>
      <c r="MAD47" s="32" t="s">
        <v>92</v>
      </c>
      <c r="MAE47" s="8" t="s">
        <v>132</v>
      </c>
      <c r="MAF47" s="22" t="s">
        <v>46</v>
      </c>
      <c r="MAG47" s="8" t="s">
        <v>433</v>
      </c>
      <c r="MAH47" s="32" t="s">
        <v>92</v>
      </c>
      <c r="MAI47" s="8" t="s">
        <v>132</v>
      </c>
      <c r="MAJ47" s="22" t="s">
        <v>46</v>
      </c>
      <c r="MAK47" s="8" t="s">
        <v>433</v>
      </c>
      <c r="MAL47" s="32" t="s">
        <v>92</v>
      </c>
      <c r="MAM47" s="8" t="s">
        <v>132</v>
      </c>
      <c r="MAN47" s="22" t="s">
        <v>46</v>
      </c>
      <c r="MAO47" s="8" t="s">
        <v>433</v>
      </c>
      <c r="MAP47" s="32" t="s">
        <v>92</v>
      </c>
      <c r="MAQ47" s="8" t="s">
        <v>132</v>
      </c>
      <c r="MAR47" s="22" t="s">
        <v>46</v>
      </c>
      <c r="MAS47" s="8" t="s">
        <v>433</v>
      </c>
      <c r="MAT47" s="32" t="s">
        <v>92</v>
      </c>
      <c r="MAU47" s="8" t="s">
        <v>132</v>
      </c>
      <c r="MAV47" s="22" t="s">
        <v>46</v>
      </c>
      <c r="MAW47" s="8" t="s">
        <v>433</v>
      </c>
      <c r="MAX47" s="32" t="s">
        <v>92</v>
      </c>
      <c r="MAY47" s="8" t="s">
        <v>132</v>
      </c>
      <c r="MAZ47" s="22" t="s">
        <v>46</v>
      </c>
      <c r="MBA47" s="8" t="s">
        <v>433</v>
      </c>
      <c r="MBB47" s="32" t="s">
        <v>92</v>
      </c>
      <c r="MBC47" s="8" t="s">
        <v>132</v>
      </c>
      <c r="MBD47" s="22" t="s">
        <v>46</v>
      </c>
      <c r="MBE47" s="8" t="s">
        <v>433</v>
      </c>
      <c r="MBF47" s="32" t="s">
        <v>92</v>
      </c>
      <c r="MBG47" s="8" t="s">
        <v>132</v>
      </c>
      <c r="MBH47" s="22" t="s">
        <v>46</v>
      </c>
      <c r="MBI47" s="8" t="s">
        <v>433</v>
      </c>
      <c r="MBJ47" s="32" t="s">
        <v>92</v>
      </c>
      <c r="MBK47" s="8" t="s">
        <v>132</v>
      </c>
      <c r="MBL47" s="22" t="s">
        <v>46</v>
      </c>
      <c r="MBM47" s="8" t="s">
        <v>433</v>
      </c>
      <c r="MBN47" s="32" t="s">
        <v>92</v>
      </c>
      <c r="MBO47" s="8" t="s">
        <v>132</v>
      </c>
      <c r="MBP47" s="22" t="s">
        <v>46</v>
      </c>
      <c r="MBQ47" s="8" t="s">
        <v>433</v>
      </c>
      <c r="MBR47" s="32" t="s">
        <v>92</v>
      </c>
      <c r="MBS47" s="8" t="s">
        <v>132</v>
      </c>
      <c r="MBT47" s="22" t="s">
        <v>46</v>
      </c>
      <c r="MBU47" s="8" t="s">
        <v>433</v>
      </c>
      <c r="MBV47" s="32" t="s">
        <v>92</v>
      </c>
      <c r="MBW47" s="8" t="s">
        <v>132</v>
      </c>
      <c r="MBX47" s="22" t="s">
        <v>46</v>
      </c>
      <c r="MBY47" s="8" t="s">
        <v>433</v>
      </c>
      <c r="MBZ47" s="32" t="s">
        <v>92</v>
      </c>
      <c r="MCA47" s="8" t="s">
        <v>132</v>
      </c>
      <c r="MCB47" s="22" t="s">
        <v>46</v>
      </c>
      <c r="MCC47" s="8" t="s">
        <v>433</v>
      </c>
      <c r="MCD47" s="32" t="s">
        <v>92</v>
      </c>
      <c r="MCE47" s="8" t="s">
        <v>132</v>
      </c>
      <c r="MCF47" s="22" t="s">
        <v>46</v>
      </c>
      <c r="MCG47" s="8" t="s">
        <v>433</v>
      </c>
      <c r="MCH47" s="32" t="s">
        <v>92</v>
      </c>
      <c r="MCI47" s="8" t="s">
        <v>132</v>
      </c>
      <c r="MCJ47" s="22" t="s">
        <v>46</v>
      </c>
      <c r="MCK47" s="8" t="s">
        <v>433</v>
      </c>
      <c r="MCL47" s="32" t="s">
        <v>92</v>
      </c>
      <c r="MCM47" s="8" t="s">
        <v>132</v>
      </c>
      <c r="MCN47" s="22" t="s">
        <v>46</v>
      </c>
      <c r="MCO47" s="8" t="s">
        <v>433</v>
      </c>
      <c r="MCP47" s="32" t="s">
        <v>92</v>
      </c>
      <c r="MCQ47" s="8" t="s">
        <v>132</v>
      </c>
      <c r="MCR47" s="22" t="s">
        <v>46</v>
      </c>
      <c r="MCS47" s="8" t="s">
        <v>433</v>
      </c>
      <c r="MCT47" s="32" t="s">
        <v>92</v>
      </c>
      <c r="MCU47" s="8" t="s">
        <v>132</v>
      </c>
      <c r="MCV47" s="22" t="s">
        <v>46</v>
      </c>
      <c r="MCW47" s="8" t="s">
        <v>433</v>
      </c>
      <c r="MCX47" s="32" t="s">
        <v>92</v>
      </c>
      <c r="MCY47" s="8" t="s">
        <v>132</v>
      </c>
      <c r="MCZ47" s="22" t="s">
        <v>46</v>
      </c>
      <c r="MDA47" s="8" t="s">
        <v>433</v>
      </c>
      <c r="MDB47" s="32" t="s">
        <v>92</v>
      </c>
      <c r="MDC47" s="8" t="s">
        <v>132</v>
      </c>
      <c r="MDD47" s="22" t="s">
        <v>46</v>
      </c>
      <c r="MDE47" s="8" t="s">
        <v>433</v>
      </c>
      <c r="MDF47" s="32" t="s">
        <v>92</v>
      </c>
      <c r="MDG47" s="8" t="s">
        <v>132</v>
      </c>
      <c r="MDH47" s="22" t="s">
        <v>46</v>
      </c>
      <c r="MDI47" s="8" t="s">
        <v>433</v>
      </c>
      <c r="MDJ47" s="32" t="s">
        <v>92</v>
      </c>
      <c r="MDK47" s="8" t="s">
        <v>132</v>
      </c>
      <c r="MDL47" s="22" t="s">
        <v>46</v>
      </c>
      <c r="MDM47" s="8" t="s">
        <v>433</v>
      </c>
      <c r="MDN47" s="32" t="s">
        <v>92</v>
      </c>
      <c r="MDO47" s="8" t="s">
        <v>132</v>
      </c>
      <c r="MDP47" s="22" t="s">
        <v>46</v>
      </c>
      <c r="MDQ47" s="8" t="s">
        <v>433</v>
      </c>
      <c r="MDR47" s="32" t="s">
        <v>92</v>
      </c>
      <c r="MDS47" s="8" t="s">
        <v>132</v>
      </c>
      <c r="MDT47" s="22" t="s">
        <v>46</v>
      </c>
      <c r="MDU47" s="8" t="s">
        <v>433</v>
      </c>
      <c r="MDV47" s="32" t="s">
        <v>92</v>
      </c>
      <c r="MDW47" s="8" t="s">
        <v>132</v>
      </c>
      <c r="MDX47" s="22" t="s">
        <v>46</v>
      </c>
      <c r="MDY47" s="8" t="s">
        <v>433</v>
      </c>
      <c r="MDZ47" s="32" t="s">
        <v>92</v>
      </c>
      <c r="MEA47" s="8" t="s">
        <v>132</v>
      </c>
      <c r="MEB47" s="22" t="s">
        <v>46</v>
      </c>
      <c r="MEC47" s="8" t="s">
        <v>433</v>
      </c>
      <c r="MED47" s="32" t="s">
        <v>92</v>
      </c>
      <c r="MEE47" s="8" t="s">
        <v>132</v>
      </c>
      <c r="MEF47" s="22" t="s">
        <v>46</v>
      </c>
      <c r="MEG47" s="8" t="s">
        <v>433</v>
      </c>
      <c r="MEH47" s="32" t="s">
        <v>92</v>
      </c>
      <c r="MEI47" s="8" t="s">
        <v>132</v>
      </c>
      <c r="MEJ47" s="22" t="s">
        <v>46</v>
      </c>
      <c r="MEK47" s="8" t="s">
        <v>433</v>
      </c>
      <c r="MEL47" s="32" t="s">
        <v>92</v>
      </c>
      <c r="MEM47" s="8" t="s">
        <v>132</v>
      </c>
      <c r="MEN47" s="22" t="s">
        <v>46</v>
      </c>
      <c r="MEO47" s="8" t="s">
        <v>433</v>
      </c>
      <c r="MEP47" s="32" t="s">
        <v>92</v>
      </c>
      <c r="MEQ47" s="8" t="s">
        <v>132</v>
      </c>
      <c r="MER47" s="22" t="s">
        <v>46</v>
      </c>
      <c r="MES47" s="8" t="s">
        <v>433</v>
      </c>
      <c r="MET47" s="32" t="s">
        <v>92</v>
      </c>
      <c r="MEU47" s="8" t="s">
        <v>132</v>
      </c>
      <c r="MEV47" s="22" t="s">
        <v>46</v>
      </c>
      <c r="MEW47" s="8" t="s">
        <v>433</v>
      </c>
      <c r="MEX47" s="32" t="s">
        <v>92</v>
      </c>
      <c r="MEY47" s="8" t="s">
        <v>132</v>
      </c>
      <c r="MEZ47" s="22" t="s">
        <v>46</v>
      </c>
      <c r="MFA47" s="8" t="s">
        <v>433</v>
      </c>
      <c r="MFB47" s="32" t="s">
        <v>92</v>
      </c>
      <c r="MFC47" s="8" t="s">
        <v>132</v>
      </c>
      <c r="MFD47" s="22" t="s">
        <v>46</v>
      </c>
      <c r="MFE47" s="8" t="s">
        <v>433</v>
      </c>
      <c r="MFF47" s="32" t="s">
        <v>92</v>
      </c>
      <c r="MFG47" s="8" t="s">
        <v>132</v>
      </c>
      <c r="MFH47" s="22" t="s">
        <v>46</v>
      </c>
      <c r="MFI47" s="8" t="s">
        <v>433</v>
      </c>
      <c r="MFJ47" s="32" t="s">
        <v>92</v>
      </c>
      <c r="MFK47" s="8" t="s">
        <v>132</v>
      </c>
      <c r="MFL47" s="22" t="s">
        <v>46</v>
      </c>
      <c r="MFM47" s="8" t="s">
        <v>433</v>
      </c>
      <c r="MFN47" s="32" t="s">
        <v>92</v>
      </c>
      <c r="MFO47" s="8" t="s">
        <v>132</v>
      </c>
      <c r="MFP47" s="22" t="s">
        <v>46</v>
      </c>
      <c r="MFQ47" s="8" t="s">
        <v>433</v>
      </c>
      <c r="MFR47" s="32" t="s">
        <v>92</v>
      </c>
      <c r="MFS47" s="8" t="s">
        <v>132</v>
      </c>
      <c r="MFT47" s="22" t="s">
        <v>46</v>
      </c>
      <c r="MFU47" s="8" t="s">
        <v>433</v>
      </c>
      <c r="MFV47" s="32" t="s">
        <v>92</v>
      </c>
      <c r="MFW47" s="8" t="s">
        <v>132</v>
      </c>
      <c r="MFX47" s="22" t="s">
        <v>46</v>
      </c>
      <c r="MFY47" s="8" t="s">
        <v>433</v>
      </c>
      <c r="MFZ47" s="32" t="s">
        <v>92</v>
      </c>
      <c r="MGA47" s="8" t="s">
        <v>132</v>
      </c>
      <c r="MGB47" s="22" t="s">
        <v>46</v>
      </c>
      <c r="MGC47" s="8" t="s">
        <v>433</v>
      </c>
      <c r="MGD47" s="32" t="s">
        <v>92</v>
      </c>
      <c r="MGE47" s="8" t="s">
        <v>132</v>
      </c>
      <c r="MGF47" s="22" t="s">
        <v>46</v>
      </c>
      <c r="MGG47" s="8" t="s">
        <v>433</v>
      </c>
      <c r="MGH47" s="32" t="s">
        <v>92</v>
      </c>
      <c r="MGI47" s="8" t="s">
        <v>132</v>
      </c>
      <c r="MGJ47" s="22" t="s">
        <v>46</v>
      </c>
      <c r="MGK47" s="8" t="s">
        <v>433</v>
      </c>
      <c r="MGL47" s="32" t="s">
        <v>92</v>
      </c>
      <c r="MGM47" s="8" t="s">
        <v>132</v>
      </c>
      <c r="MGN47" s="22" t="s">
        <v>46</v>
      </c>
      <c r="MGO47" s="8" t="s">
        <v>433</v>
      </c>
      <c r="MGP47" s="32" t="s">
        <v>92</v>
      </c>
      <c r="MGQ47" s="8" t="s">
        <v>132</v>
      </c>
      <c r="MGR47" s="22" t="s">
        <v>46</v>
      </c>
      <c r="MGS47" s="8" t="s">
        <v>433</v>
      </c>
      <c r="MGT47" s="32" t="s">
        <v>92</v>
      </c>
      <c r="MGU47" s="8" t="s">
        <v>132</v>
      </c>
      <c r="MGV47" s="22" t="s">
        <v>46</v>
      </c>
      <c r="MGW47" s="8" t="s">
        <v>433</v>
      </c>
      <c r="MGX47" s="32" t="s">
        <v>92</v>
      </c>
      <c r="MGY47" s="8" t="s">
        <v>132</v>
      </c>
      <c r="MGZ47" s="22" t="s">
        <v>46</v>
      </c>
      <c r="MHA47" s="8" t="s">
        <v>433</v>
      </c>
      <c r="MHB47" s="32" t="s">
        <v>92</v>
      </c>
      <c r="MHC47" s="8" t="s">
        <v>132</v>
      </c>
      <c r="MHD47" s="22" t="s">
        <v>46</v>
      </c>
      <c r="MHE47" s="8" t="s">
        <v>433</v>
      </c>
      <c r="MHF47" s="32" t="s">
        <v>92</v>
      </c>
      <c r="MHG47" s="8" t="s">
        <v>132</v>
      </c>
      <c r="MHH47" s="22" t="s">
        <v>46</v>
      </c>
      <c r="MHI47" s="8" t="s">
        <v>433</v>
      </c>
      <c r="MHJ47" s="32" t="s">
        <v>92</v>
      </c>
      <c r="MHK47" s="8" t="s">
        <v>132</v>
      </c>
      <c r="MHL47" s="22" t="s">
        <v>46</v>
      </c>
      <c r="MHM47" s="8" t="s">
        <v>433</v>
      </c>
      <c r="MHN47" s="32" t="s">
        <v>92</v>
      </c>
      <c r="MHO47" s="8" t="s">
        <v>132</v>
      </c>
      <c r="MHP47" s="22" t="s">
        <v>46</v>
      </c>
      <c r="MHQ47" s="8" t="s">
        <v>433</v>
      </c>
      <c r="MHR47" s="32" t="s">
        <v>92</v>
      </c>
      <c r="MHS47" s="8" t="s">
        <v>132</v>
      </c>
      <c r="MHT47" s="22" t="s">
        <v>46</v>
      </c>
      <c r="MHU47" s="8" t="s">
        <v>433</v>
      </c>
      <c r="MHV47" s="32" t="s">
        <v>92</v>
      </c>
      <c r="MHW47" s="8" t="s">
        <v>132</v>
      </c>
      <c r="MHX47" s="22" t="s">
        <v>46</v>
      </c>
      <c r="MHY47" s="8" t="s">
        <v>433</v>
      </c>
      <c r="MHZ47" s="32" t="s">
        <v>92</v>
      </c>
      <c r="MIA47" s="8" t="s">
        <v>132</v>
      </c>
      <c r="MIB47" s="22" t="s">
        <v>46</v>
      </c>
      <c r="MIC47" s="8" t="s">
        <v>433</v>
      </c>
      <c r="MID47" s="32" t="s">
        <v>92</v>
      </c>
      <c r="MIE47" s="8" t="s">
        <v>132</v>
      </c>
      <c r="MIF47" s="22" t="s">
        <v>46</v>
      </c>
      <c r="MIG47" s="8" t="s">
        <v>433</v>
      </c>
      <c r="MIH47" s="32" t="s">
        <v>92</v>
      </c>
      <c r="MII47" s="8" t="s">
        <v>132</v>
      </c>
      <c r="MIJ47" s="22" t="s">
        <v>46</v>
      </c>
      <c r="MIK47" s="8" t="s">
        <v>433</v>
      </c>
      <c r="MIL47" s="32" t="s">
        <v>92</v>
      </c>
      <c r="MIM47" s="8" t="s">
        <v>132</v>
      </c>
      <c r="MIN47" s="22" t="s">
        <v>46</v>
      </c>
      <c r="MIO47" s="8" t="s">
        <v>433</v>
      </c>
      <c r="MIP47" s="32" t="s">
        <v>92</v>
      </c>
      <c r="MIQ47" s="8" t="s">
        <v>132</v>
      </c>
      <c r="MIR47" s="22" t="s">
        <v>46</v>
      </c>
      <c r="MIS47" s="8" t="s">
        <v>433</v>
      </c>
      <c r="MIT47" s="32" t="s">
        <v>92</v>
      </c>
      <c r="MIU47" s="8" t="s">
        <v>132</v>
      </c>
      <c r="MIV47" s="22" t="s">
        <v>46</v>
      </c>
      <c r="MIW47" s="8" t="s">
        <v>433</v>
      </c>
      <c r="MIX47" s="32" t="s">
        <v>92</v>
      </c>
      <c r="MIY47" s="8" t="s">
        <v>132</v>
      </c>
      <c r="MIZ47" s="22" t="s">
        <v>46</v>
      </c>
      <c r="MJA47" s="8" t="s">
        <v>433</v>
      </c>
      <c r="MJB47" s="32" t="s">
        <v>92</v>
      </c>
      <c r="MJC47" s="8" t="s">
        <v>132</v>
      </c>
      <c r="MJD47" s="22" t="s">
        <v>46</v>
      </c>
      <c r="MJE47" s="8" t="s">
        <v>433</v>
      </c>
      <c r="MJF47" s="32" t="s">
        <v>92</v>
      </c>
      <c r="MJG47" s="8" t="s">
        <v>132</v>
      </c>
      <c r="MJH47" s="22" t="s">
        <v>46</v>
      </c>
      <c r="MJI47" s="8" t="s">
        <v>433</v>
      </c>
      <c r="MJJ47" s="32" t="s">
        <v>92</v>
      </c>
      <c r="MJK47" s="8" t="s">
        <v>132</v>
      </c>
      <c r="MJL47" s="22" t="s">
        <v>46</v>
      </c>
      <c r="MJM47" s="8" t="s">
        <v>433</v>
      </c>
      <c r="MJN47" s="32" t="s">
        <v>92</v>
      </c>
      <c r="MJO47" s="8" t="s">
        <v>132</v>
      </c>
      <c r="MJP47" s="22" t="s">
        <v>46</v>
      </c>
      <c r="MJQ47" s="8" t="s">
        <v>433</v>
      </c>
      <c r="MJR47" s="32" t="s">
        <v>92</v>
      </c>
      <c r="MJS47" s="8" t="s">
        <v>132</v>
      </c>
      <c r="MJT47" s="22" t="s">
        <v>46</v>
      </c>
      <c r="MJU47" s="8" t="s">
        <v>433</v>
      </c>
      <c r="MJV47" s="32" t="s">
        <v>92</v>
      </c>
      <c r="MJW47" s="8" t="s">
        <v>132</v>
      </c>
      <c r="MJX47" s="22" t="s">
        <v>46</v>
      </c>
      <c r="MJY47" s="8" t="s">
        <v>433</v>
      </c>
      <c r="MJZ47" s="32" t="s">
        <v>92</v>
      </c>
      <c r="MKA47" s="8" t="s">
        <v>132</v>
      </c>
      <c r="MKB47" s="22" t="s">
        <v>46</v>
      </c>
      <c r="MKC47" s="8" t="s">
        <v>433</v>
      </c>
      <c r="MKD47" s="32" t="s">
        <v>92</v>
      </c>
      <c r="MKE47" s="8" t="s">
        <v>132</v>
      </c>
      <c r="MKF47" s="22" t="s">
        <v>46</v>
      </c>
      <c r="MKG47" s="8" t="s">
        <v>433</v>
      </c>
      <c r="MKH47" s="32" t="s">
        <v>92</v>
      </c>
      <c r="MKI47" s="8" t="s">
        <v>132</v>
      </c>
      <c r="MKJ47" s="22" t="s">
        <v>46</v>
      </c>
      <c r="MKK47" s="8" t="s">
        <v>433</v>
      </c>
      <c r="MKL47" s="32" t="s">
        <v>92</v>
      </c>
      <c r="MKM47" s="8" t="s">
        <v>132</v>
      </c>
      <c r="MKN47" s="22" t="s">
        <v>46</v>
      </c>
      <c r="MKO47" s="8" t="s">
        <v>433</v>
      </c>
      <c r="MKP47" s="32" t="s">
        <v>92</v>
      </c>
      <c r="MKQ47" s="8" t="s">
        <v>132</v>
      </c>
      <c r="MKR47" s="22" t="s">
        <v>46</v>
      </c>
      <c r="MKS47" s="8" t="s">
        <v>433</v>
      </c>
      <c r="MKT47" s="32" t="s">
        <v>92</v>
      </c>
      <c r="MKU47" s="8" t="s">
        <v>132</v>
      </c>
      <c r="MKV47" s="22" t="s">
        <v>46</v>
      </c>
      <c r="MKW47" s="8" t="s">
        <v>433</v>
      </c>
      <c r="MKX47" s="32" t="s">
        <v>92</v>
      </c>
      <c r="MKY47" s="8" t="s">
        <v>132</v>
      </c>
      <c r="MKZ47" s="22" t="s">
        <v>46</v>
      </c>
      <c r="MLA47" s="8" t="s">
        <v>433</v>
      </c>
      <c r="MLB47" s="32" t="s">
        <v>92</v>
      </c>
      <c r="MLC47" s="8" t="s">
        <v>132</v>
      </c>
      <c r="MLD47" s="22" t="s">
        <v>46</v>
      </c>
      <c r="MLE47" s="8" t="s">
        <v>433</v>
      </c>
      <c r="MLF47" s="32" t="s">
        <v>92</v>
      </c>
      <c r="MLG47" s="8" t="s">
        <v>132</v>
      </c>
      <c r="MLH47" s="22" t="s">
        <v>46</v>
      </c>
      <c r="MLI47" s="8" t="s">
        <v>433</v>
      </c>
      <c r="MLJ47" s="32" t="s">
        <v>92</v>
      </c>
      <c r="MLK47" s="8" t="s">
        <v>132</v>
      </c>
      <c r="MLL47" s="22" t="s">
        <v>46</v>
      </c>
      <c r="MLM47" s="8" t="s">
        <v>433</v>
      </c>
      <c r="MLN47" s="32" t="s">
        <v>92</v>
      </c>
      <c r="MLO47" s="8" t="s">
        <v>132</v>
      </c>
      <c r="MLP47" s="22" t="s">
        <v>46</v>
      </c>
      <c r="MLQ47" s="8" t="s">
        <v>433</v>
      </c>
      <c r="MLR47" s="32" t="s">
        <v>92</v>
      </c>
      <c r="MLS47" s="8" t="s">
        <v>132</v>
      </c>
      <c r="MLT47" s="22" t="s">
        <v>46</v>
      </c>
      <c r="MLU47" s="8" t="s">
        <v>433</v>
      </c>
      <c r="MLV47" s="32" t="s">
        <v>92</v>
      </c>
      <c r="MLW47" s="8" t="s">
        <v>132</v>
      </c>
      <c r="MLX47" s="22" t="s">
        <v>46</v>
      </c>
      <c r="MLY47" s="8" t="s">
        <v>433</v>
      </c>
      <c r="MLZ47" s="32" t="s">
        <v>92</v>
      </c>
      <c r="MMA47" s="8" t="s">
        <v>132</v>
      </c>
      <c r="MMB47" s="22" t="s">
        <v>46</v>
      </c>
      <c r="MMC47" s="8" t="s">
        <v>433</v>
      </c>
      <c r="MMD47" s="32" t="s">
        <v>92</v>
      </c>
      <c r="MME47" s="8" t="s">
        <v>132</v>
      </c>
      <c r="MMF47" s="22" t="s">
        <v>46</v>
      </c>
      <c r="MMG47" s="8" t="s">
        <v>433</v>
      </c>
      <c r="MMH47" s="32" t="s">
        <v>92</v>
      </c>
      <c r="MMI47" s="8" t="s">
        <v>132</v>
      </c>
      <c r="MMJ47" s="22" t="s">
        <v>46</v>
      </c>
      <c r="MMK47" s="8" t="s">
        <v>433</v>
      </c>
      <c r="MML47" s="32" t="s">
        <v>92</v>
      </c>
      <c r="MMM47" s="8" t="s">
        <v>132</v>
      </c>
      <c r="MMN47" s="22" t="s">
        <v>46</v>
      </c>
      <c r="MMO47" s="8" t="s">
        <v>433</v>
      </c>
      <c r="MMP47" s="32" t="s">
        <v>92</v>
      </c>
      <c r="MMQ47" s="8" t="s">
        <v>132</v>
      </c>
      <c r="MMR47" s="22" t="s">
        <v>46</v>
      </c>
      <c r="MMS47" s="8" t="s">
        <v>433</v>
      </c>
      <c r="MMT47" s="32" t="s">
        <v>92</v>
      </c>
      <c r="MMU47" s="8" t="s">
        <v>132</v>
      </c>
      <c r="MMV47" s="22" t="s">
        <v>46</v>
      </c>
      <c r="MMW47" s="8" t="s">
        <v>433</v>
      </c>
      <c r="MMX47" s="32" t="s">
        <v>92</v>
      </c>
      <c r="MMY47" s="8" t="s">
        <v>132</v>
      </c>
      <c r="MMZ47" s="22" t="s">
        <v>46</v>
      </c>
      <c r="MNA47" s="8" t="s">
        <v>433</v>
      </c>
      <c r="MNB47" s="32" t="s">
        <v>92</v>
      </c>
      <c r="MNC47" s="8" t="s">
        <v>132</v>
      </c>
      <c r="MND47" s="22" t="s">
        <v>46</v>
      </c>
      <c r="MNE47" s="8" t="s">
        <v>433</v>
      </c>
      <c r="MNF47" s="32" t="s">
        <v>92</v>
      </c>
      <c r="MNG47" s="8" t="s">
        <v>132</v>
      </c>
      <c r="MNH47" s="22" t="s">
        <v>46</v>
      </c>
      <c r="MNI47" s="8" t="s">
        <v>433</v>
      </c>
      <c r="MNJ47" s="32" t="s">
        <v>92</v>
      </c>
      <c r="MNK47" s="8" t="s">
        <v>132</v>
      </c>
      <c r="MNL47" s="22" t="s">
        <v>46</v>
      </c>
      <c r="MNM47" s="8" t="s">
        <v>433</v>
      </c>
      <c r="MNN47" s="32" t="s">
        <v>92</v>
      </c>
      <c r="MNO47" s="8" t="s">
        <v>132</v>
      </c>
      <c r="MNP47" s="22" t="s">
        <v>46</v>
      </c>
      <c r="MNQ47" s="8" t="s">
        <v>433</v>
      </c>
      <c r="MNR47" s="32" t="s">
        <v>92</v>
      </c>
      <c r="MNS47" s="8" t="s">
        <v>132</v>
      </c>
      <c r="MNT47" s="22" t="s">
        <v>46</v>
      </c>
      <c r="MNU47" s="8" t="s">
        <v>433</v>
      </c>
      <c r="MNV47" s="32" t="s">
        <v>92</v>
      </c>
      <c r="MNW47" s="8" t="s">
        <v>132</v>
      </c>
      <c r="MNX47" s="22" t="s">
        <v>46</v>
      </c>
      <c r="MNY47" s="8" t="s">
        <v>433</v>
      </c>
      <c r="MNZ47" s="32" t="s">
        <v>92</v>
      </c>
      <c r="MOA47" s="8" t="s">
        <v>132</v>
      </c>
      <c r="MOB47" s="22" t="s">
        <v>46</v>
      </c>
      <c r="MOC47" s="8" t="s">
        <v>433</v>
      </c>
      <c r="MOD47" s="32" t="s">
        <v>92</v>
      </c>
      <c r="MOE47" s="8" t="s">
        <v>132</v>
      </c>
      <c r="MOF47" s="22" t="s">
        <v>46</v>
      </c>
      <c r="MOG47" s="8" t="s">
        <v>433</v>
      </c>
      <c r="MOH47" s="32" t="s">
        <v>92</v>
      </c>
      <c r="MOI47" s="8" t="s">
        <v>132</v>
      </c>
      <c r="MOJ47" s="22" t="s">
        <v>46</v>
      </c>
      <c r="MOK47" s="8" t="s">
        <v>433</v>
      </c>
      <c r="MOL47" s="32" t="s">
        <v>92</v>
      </c>
      <c r="MOM47" s="8" t="s">
        <v>132</v>
      </c>
      <c r="MON47" s="22" t="s">
        <v>46</v>
      </c>
      <c r="MOO47" s="8" t="s">
        <v>433</v>
      </c>
      <c r="MOP47" s="32" t="s">
        <v>92</v>
      </c>
      <c r="MOQ47" s="8" t="s">
        <v>132</v>
      </c>
      <c r="MOR47" s="22" t="s">
        <v>46</v>
      </c>
      <c r="MOS47" s="8" t="s">
        <v>433</v>
      </c>
      <c r="MOT47" s="32" t="s">
        <v>92</v>
      </c>
      <c r="MOU47" s="8" t="s">
        <v>132</v>
      </c>
      <c r="MOV47" s="22" t="s">
        <v>46</v>
      </c>
      <c r="MOW47" s="8" t="s">
        <v>433</v>
      </c>
      <c r="MOX47" s="32" t="s">
        <v>92</v>
      </c>
      <c r="MOY47" s="8" t="s">
        <v>132</v>
      </c>
      <c r="MOZ47" s="22" t="s">
        <v>46</v>
      </c>
      <c r="MPA47" s="8" t="s">
        <v>433</v>
      </c>
      <c r="MPB47" s="32" t="s">
        <v>92</v>
      </c>
      <c r="MPC47" s="8" t="s">
        <v>132</v>
      </c>
      <c r="MPD47" s="22" t="s">
        <v>46</v>
      </c>
      <c r="MPE47" s="8" t="s">
        <v>433</v>
      </c>
      <c r="MPF47" s="32" t="s">
        <v>92</v>
      </c>
      <c r="MPG47" s="8" t="s">
        <v>132</v>
      </c>
      <c r="MPH47" s="22" t="s">
        <v>46</v>
      </c>
      <c r="MPI47" s="8" t="s">
        <v>433</v>
      </c>
      <c r="MPJ47" s="32" t="s">
        <v>92</v>
      </c>
      <c r="MPK47" s="8" t="s">
        <v>132</v>
      </c>
      <c r="MPL47" s="22" t="s">
        <v>46</v>
      </c>
      <c r="MPM47" s="8" t="s">
        <v>433</v>
      </c>
      <c r="MPN47" s="32" t="s">
        <v>92</v>
      </c>
      <c r="MPO47" s="8" t="s">
        <v>132</v>
      </c>
      <c r="MPP47" s="22" t="s">
        <v>46</v>
      </c>
      <c r="MPQ47" s="8" t="s">
        <v>433</v>
      </c>
      <c r="MPR47" s="32" t="s">
        <v>92</v>
      </c>
      <c r="MPS47" s="8" t="s">
        <v>132</v>
      </c>
      <c r="MPT47" s="22" t="s">
        <v>46</v>
      </c>
      <c r="MPU47" s="8" t="s">
        <v>433</v>
      </c>
      <c r="MPV47" s="32" t="s">
        <v>92</v>
      </c>
      <c r="MPW47" s="8" t="s">
        <v>132</v>
      </c>
      <c r="MPX47" s="22" t="s">
        <v>46</v>
      </c>
      <c r="MPY47" s="8" t="s">
        <v>433</v>
      </c>
      <c r="MPZ47" s="32" t="s">
        <v>92</v>
      </c>
      <c r="MQA47" s="8" t="s">
        <v>132</v>
      </c>
      <c r="MQB47" s="22" t="s">
        <v>46</v>
      </c>
      <c r="MQC47" s="8" t="s">
        <v>433</v>
      </c>
      <c r="MQD47" s="32" t="s">
        <v>92</v>
      </c>
      <c r="MQE47" s="8" t="s">
        <v>132</v>
      </c>
      <c r="MQF47" s="22" t="s">
        <v>46</v>
      </c>
      <c r="MQG47" s="8" t="s">
        <v>433</v>
      </c>
      <c r="MQH47" s="32" t="s">
        <v>92</v>
      </c>
      <c r="MQI47" s="8" t="s">
        <v>132</v>
      </c>
      <c r="MQJ47" s="22" t="s">
        <v>46</v>
      </c>
      <c r="MQK47" s="8" t="s">
        <v>433</v>
      </c>
      <c r="MQL47" s="32" t="s">
        <v>92</v>
      </c>
      <c r="MQM47" s="8" t="s">
        <v>132</v>
      </c>
      <c r="MQN47" s="22" t="s">
        <v>46</v>
      </c>
      <c r="MQO47" s="8" t="s">
        <v>433</v>
      </c>
      <c r="MQP47" s="32" t="s">
        <v>92</v>
      </c>
      <c r="MQQ47" s="8" t="s">
        <v>132</v>
      </c>
      <c r="MQR47" s="22" t="s">
        <v>46</v>
      </c>
      <c r="MQS47" s="8" t="s">
        <v>433</v>
      </c>
      <c r="MQT47" s="32" t="s">
        <v>92</v>
      </c>
      <c r="MQU47" s="8" t="s">
        <v>132</v>
      </c>
      <c r="MQV47" s="22" t="s">
        <v>46</v>
      </c>
      <c r="MQW47" s="8" t="s">
        <v>433</v>
      </c>
      <c r="MQX47" s="32" t="s">
        <v>92</v>
      </c>
      <c r="MQY47" s="8" t="s">
        <v>132</v>
      </c>
      <c r="MQZ47" s="22" t="s">
        <v>46</v>
      </c>
      <c r="MRA47" s="8" t="s">
        <v>433</v>
      </c>
      <c r="MRB47" s="32" t="s">
        <v>92</v>
      </c>
      <c r="MRC47" s="8" t="s">
        <v>132</v>
      </c>
      <c r="MRD47" s="22" t="s">
        <v>46</v>
      </c>
      <c r="MRE47" s="8" t="s">
        <v>433</v>
      </c>
      <c r="MRF47" s="32" t="s">
        <v>92</v>
      </c>
      <c r="MRG47" s="8" t="s">
        <v>132</v>
      </c>
      <c r="MRH47" s="22" t="s">
        <v>46</v>
      </c>
      <c r="MRI47" s="8" t="s">
        <v>433</v>
      </c>
      <c r="MRJ47" s="32" t="s">
        <v>92</v>
      </c>
      <c r="MRK47" s="8" t="s">
        <v>132</v>
      </c>
      <c r="MRL47" s="22" t="s">
        <v>46</v>
      </c>
      <c r="MRM47" s="8" t="s">
        <v>433</v>
      </c>
      <c r="MRN47" s="32" t="s">
        <v>92</v>
      </c>
      <c r="MRO47" s="8" t="s">
        <v>132</v>
      </c>
      <c r="MRP47" s="22" t="s">
        <v>46</v>
      </c>
      <c r="MRQ47" s="8" t="s">
        <v>433</v>
      </c>
      <c r="MRR47" s="32" t="s">
        <v>92</v>
      </c>
      <c r="MRS47" s="8" t="s">
        <v>132</v>
      </c>
      <c r="MRT47" s="22" t="s">
        <v>46</v>
      </c>
      <c r="MRU47" s="8" t="s">
        <v>433</v>
      </c>
      <c r="MRV47" s="32" t="s">
        <v>92</v>
      </c>
      <c r="MRW47" s="8" t="s">
        <v>132</v>
      </c>
      <c r="MRX47" s="22" t="s">
        <v>46</v>
      </c>
      <c r="MRY47" s="8" t="s">
        <v>433</v>
      </c>
      <c r="MRZ47" s="32" t="s">
        <v>92</v>
      </c>
      <c r="MSA47" s="8" t="s">
        <v>132</v>
      </c>
      <c r="MSB47" s="22" t="s">
        <v>46</v>
      </c>
      <c r="MSC47" s="8" t="s">
        <v>433</v>
      </c>
      <c r="MSD47" s="32" t="s">
        <v>92</v>
      </c>
      <c r="MSE47" s="8" t="s">
        <v>132</v>
      </c>
      <c r="MSF47" s="22" t="s">
        <v>46</v>
      </c>
      <c r="MSG47" s="8" t="s">
        <v>433</v>
      </c>
      <c r="MSH47" s="32" t="s">
        <v>92</v>
      </c>
      <c r="MSI47" s="8" t="s">
        <v>132</v>
      </c>
      <c r="MSJ47" s="22" t="s">
        <v>46</v>
      </c>
      <c r="MSK47" s="8" t="s">
        <v>433</v>
      </c>
      <c r="MSL47" s="32" t="s">
        <v>92</v>
      </c>
      <c r="MSM47" s="8" t="s">
        <v>132</v>
      </c>
      <c r="MSN47" s="22" t="s">
        <v>46</v>
      </c>
      <c r="MSO47" s="8" t="s">
        <v>433</v>
      </c>
      <c r="MSP47" s="32" t="s">
        <v>92</v>
      </c>
      <c r="MSQ47" s="8" t="s">
        <v>132</v>
      </c>
      <c r="MSR47" s="22" t="s">
        <v>46</v>
      </c>
      <c r="MSS47" s="8" t="s">
        <v>433</v>
      </c>
      <c r="MST47" s="32" t="s">
        <v>92</v>
      </c>
      <c r="MSU47" s="8" t="s">
        <v>132</v>
      </c>
      <c r="MSV47" s="22" t="s">
        <v>46</v>
      </c>
      <c r="MSW47" s="8" t="s">
        <v>433</v>
      </c>
      <c r="MSX47" s="32" t="s">
        <v>92</v>
      </c>
      <c r="MSY47" s="8" t="s">
        <v>132</v>
      </c>
      <c r="MSZ47" s="22" t="s">
        <v>46</v>
      </c>
      <c r="MTA47" s="8" t="s">
        <v>433</v>
      </c>
      <c r="MTB47" s="32" t="s">
        <v>92</v>
      </c>
      <c r="MTC47" s="8" t="s">
        <v>132</v>
      </c>
      <c r="MTD47" s="22" t="s">
        <v>46</v>
      </c>
      <c r="MTE47" s="8" t="s">
        <v>433</v>
      </c>
      <c r="MTF47" s="32" t="s">
        <v>92</v>
      </c>
      <c r="MTG47" s="8" t="s">
        <v>132</v>
      </c>
      <c r="MTH47" s="22" t="s">
        <v>46</v>
      </c>
      <c r="MTI47" s="8" t="s">
        <v>433</v>
      </c>
      <c r="MTJ47" s="32" t="s">
        <v>92</v>
      </c>
      <c r="MTK47" s="8" t="s">
        <v>132</v>
      </c>
      <c r="MTL47" s="22" t="s">
        <v>46</v>
      </c>
      <c r="MTM47" s="8" t="s">
        <v>433</v>
      </c>
      <c r="MTN47" s="32" t="s">
        <v>92</v>
      </c>
      <c r="MTO47" s="8" t="s">
        <v>132</v>
      </c>
      <c r="MTP47" s="22" t="s">
        <v>46</v>
      </c>
      <c r="MTQ47" s="8" t="s">
        <v>433</v>
      </c>
      <c r="MTR47" s="32" t="s">
        <v>92</v>
      </c>
      <c r="MTS47" s="8" t="s">
        <v>132</v>
      </c>
      <c r="MTT47" s="22" t="s">
        <v>46</v>
      </c>
      <c r="MTU47" s="8" t="s">
        <v>433</v>
      </c>
      <c r="MTV47" s="32" t="s">
        <v>92</v>
      </c>
      <c r="MTW47" s="8" t="s">
        <v>132</v>
      </c>
      <c r="MTX47" s="22" t="s">
        <v>46</v>
      </c>
      <c r="MTY47" s="8" t="s">
        <v>433</v>
      </c>
      <c r="MTZ47" s="32" t="s">
        <v>92</v>
      </c>
      <c r="MUA47" s="8" t="s">
        <v>132</v>
      </c>
      <c r="MUB47" s="22" t="s">
        <v>46</v>
      </c>
      <c r="MUC47" s="8" t="s">
        <v>433</v>
      </c>
      <c r="MUD47" s="32" t="s">
        <v>92</v>
      </c>
      <c r="MUE47" s="8" t="s">
        <v>132</v>
      </c>
      <c r="MUF47" s="22" t="s">
        <v>46</v>
      </c>
      <c r="MUG47" s="8" t="s">
        <v>433</v>
      </c>
      <c r="MUH47" s="32" t="s">
        <v>92</v>
      </c>
      <c r="MUI47" s="8" t="s">
        <v>132</v>
      </c>
      <c r="MUJ47" s="22" t="s">
        <v>46</v>
      </c>
      <c r="MUK47" s="8" t="s">
        <v>433</v>
      </c>
      <c r="MUL47" s="32" t="s">
        <v>92</v>
      </c>
      <c r="MUM47" s="8" t="s">
        <v>132</v>
      </c>
      <c r="MUN47" s="22" t="s">
        <v>46</v>
      </c>
      <c r="MUO47" s="8" t="s">
        <v>433</v>
      </c>
      <c r="MUP47" s="32" t="s">
        <v>92</v>
      </c>
      <c r="MUQ47" s="8" t="s">
        <v>132</v>
      </c>
      <c r="MUR47" s="22" t="s">
        <v>46</v>
      </c>
      <c r="MUS47" s="8" t="s">
        <v>433</v>
      </c>
      <c r="MUT47" s="32" t="s">
        <v>92</v>
      </c>
      <c r="MUU47" s="8" t="s">
        <v>132</v>
      </c>
      <c r="MUV47" s="22" t="s">
        <v>46</v>
      </c>
      <c r="MUW47" s="8" t="s">
        <v>433</v>
      </c>
      <c r="MUX47" s="32" t="s">
        <v>92</v>
      </c>
      <c r="MUY47" s="8" t="s">
        <v>132</v>
      </c>
      <c r="MUZ47" s="22" t="s">
        <v>46</v>
      </c>
      <c r="MVA47" s="8" t="s">
        <v>433</v>
      </c>
      <c r="MVB47" s="32" t="s">
        <v>92</v>
      </c>
      <c r="MVC47" s="8" t="s">
        <v>132</v>
      </c>
      <c r="MVD47" s="22" t="s">
        <v>46</v>
      </c>
      <c r="MVE47" s="8" t="s">
        <v>433</v>
      </c>
      <c r="MVF47" s="32" t="s">
        <v>92</v>
      </c>
      <c r="MVG47" s="8" t="s">
        <v>132</v>
      </c>
      <c r="MVH47" s="22" t="s">
        <v>46</v>
      </c>
      <c r="MVI47" s="8" t="s">
        <v>433</v>
      </c>
      <c r="MVJ47" s="32" t="s">
        <v>92</v>
      </c>
      <c r="MVK47" s="8" t="s">
        <v>132</v>
      </c>
      <c r="MVL47" s="22" t="s">
        <v>46</v>
      </c>
      <c r="MVM47" s="8" t="s">
        <v>433</v>
      </c>
      <c r="MVN47" s="32" t="s">
        <v>92</v>
      </c>
      <c r="MVO47" s="8" t="s">
        <v>132</v>
      </c>
      <c r="MVP47" s="22" t="s">
        <v>46</v>
      </c>
      <c r="MVQ47" s="8" t="s">
        <v>433</v>
      </c>
      <c r="MVR47" s="32" t="s">
        <v>92</v>
      </c>
      <c r="MVS47" s="8" t="s">
        <v>132</v>
      </c>
      <c r="MVT47" s="22" t="s">
        <v>46</v>
      </c>
      <c r="MVU47" s="8" t="s">
        <v>433</v>
      </c>
      <c r="MVV47" s="32" t="s">
        <v>92</v>
      </c>
      <c r="MVW47" s="8" t="s">
        <v>132</v>
      </c>
      <c r="MVX47" s="22" t="s">
        <v>46</v>
      </c>
      <c r="MVY47" s="8" t="s">
        <v>433</v>
      </c>
      <c r="MVZ47" s="32" t="s">
        <v>92</v>
      </c>
      <c r="MWA47" s="8" t="s">
        <v>132</v>
      </c>
      <c r="MWB47" s="22" t="s">
        <v>46</v>
      </c>
      <c r="MWC47" s="8" t="s">
        <v>433</v>
      </c>
      <c r="MWD47" s="32" t="s">
        <v>92</v>
      </c>
      <c r="MWE47" s="8" t="s">
        <v>132</v>
      </c>
      <c r="MWF47" s="22" t="s">
        <v>46</v>
      </c>
      <c r="MWG47" s="8" t="s">
        <v>433</v>
      </c>
      <c r="MWH47" s="32" t="s">
        <v>92</v>
      </c>
      <c r="MWI47" s="8" t="s">
        <v>132</v>
      </c>
      <c r="MWJ47" s="22" t="s">
        <v>46</v>
      </c>
      <c r="MWK47" s="8" t="s">
        <v>433</v>
      </c>
      <c r="MWL47" s="32" t="s">
        <v>92</v>
      </c>
      <c r="MWM47" s="8" t="s">
        <v>132</v>
      </c>
      <c r="MWN47" s="22" t="s">
        <v>46</v>
      </c>
      <c r="MWO47" s="8" t="s">
        <v>433</v>
      </c>
      <c r="MWP47" s="32" t="s">
        <v>92</v>
      </c>
      <c r="MWQ47" s="8" t="s">
        <v>132</v>
      </c>
      <c r="MWR47" s="22" t="s">
        <v>46</v>
      </c>
      <c r="MWS47" s="8" t="s">
        <v>433</v>
      </c>
      <c r="MWT47" s="32" t="s">
        <v>92</v>
      </c>
      <c r="MWU47" s="8" t="s">
        <v>132</v>
      </c>
      <c r="MWV47" s="22" t="s">
        <v>46</v>
      </c>
      <c r="MWW47" s="8" t="s">
        <v>433</v>
      </c>
      <c r="MWX47" s="32" t="s">
        <v>92</v>
      </c>
      <c r="MWY47" s="8" t="s">
        <v>132</v>
      </c>
      <c r="MWZ47" s="22" t="s">
        <v>46</v>
      </c>
      <c r="MXA47" s="8" t="s">
        <v>433</v>
      </c>
      <c r="MXB47" s="32" t="s">
        <v>92</v>
      </c>
      <c r="MXC47" s="8" t="s">
        <v>132</v>
      </c>
      <c r="MXD47" s="22" t="s">
        <v>46</v>
      </c>
      <c r="MXE47" s="8" t="s">
        <v>433</v>
      </c>
      <c r="MXF47" s="32" t="s">
        <v>92</v>
      </c>
      <c r="MXG47" s="8" t="s">
        <v>132</v>
      </c>
      <c r="MXH47" s="22" t="s">
        <v>46</v>
      </c>
      <c r="MXI47" s="8" t="s">
        <v>433</v>
      </c>
      <c r="MXJ47" s="32" t="s">
        <v>92</v>
      </c>
      <c r="MXK47" s="8" t="s">
        <v>132</v>
      </c>
      <c r="MXL47" s="22" t="s">
        <v>46</v>
      </c>
      <c r="MXM47" s="8" t="s">
        <v>433</v>
      </c>
      <c r="MXN47" s="32" t="s">
        <v>92</v>
      </c>
      <c r="MXO47" s="8" t="s">
        <v>132</v>
      </c>
      <c r="MXP47" s="22" t="s">
        <v>46</v>
      </c>
      <c r="MXQ47" s="8" t="s">
        <v>433</v>
      </c>
      <c r="MXR47" s="32" t="s">
        <v>92</v>
      </c>
      <c r="MXS47" s="8" t="s">
        <v>132</v>
      </c>
      <c r="MXT47" s="22" t="s">
        <v>46</v>
      </c>
      <c r="MXU47" s="8" t="s">
        <v>433</v>
      </c>
      <c r="MXV47" s="32" t="s">
        <v>92</v>
      </c>
      <c r="MXW47" s="8" t="s">
        <v>132</v>
      </c>
      <c r="MXX47" s="22" t="s">
        <v>46</v>
      </c>
      <c r="MXY47" s="8" t="s">
        <v>433</v>
      </c>
      <c r="MXZ47" s="32" t="s">
        <v>92</v>
      </c>
      <c r="MYA47" s="8" t="s">
        <v>132</v>
      </c>
      <c r="MYB47" s="22" t="s">
        <v>46</v>
      </c>
      <c r="MYC47" s="8" t="s">
        <v>433</v>
      </c>
      <c r="MYD47" s="32" t="s">
        <v>92</v>
      </c>
      <c r="MYE47" s="8" t="s">
        <v>132</v>
      </c>
      <c r="MYF47" s="22" t="s">
        <v>46</v>
      </c>
      <c r="MYG47" s="8" t="s">
        <v>433</v>
      </c>
      <c r="MYH47" s="32" t="s">
        <v>92</v>
      </c>
      <c r="MYI47" s="8" t="s">
        <v>132</v>
      </c>
      <c r="MYJ47" s="22" t="s">
        <v>46</v>
      </c>
      <c r="MYK47" s="8" t="s">
        <v>433</v>
      </c>
      <c r="MYL47" s="32" t="s">
        <v>92</v>
      </c>
      <c r="MYM47" s="8" t="s">
        <v>132</v>
      </c>
      <c r="MYN47" s="22" t="s">
        <v>46</v>
      </c>
      <c r="MYO47" s="8" t="s">
        <v>433</v>
      </c>
      <c r="MYP47" s="32" t="s">
        <v>92</v>
      </c>
      <c r="MYQ47" s="8" t="s">
        <v>132</v>
      </c>
      <c r="MYR47" s="22" t="s">
        <v>46</v>
      </c>
      <c r="MYS47" s="8" t="s">
        <v>433</v>
      </c>
      <c r="MYT47" s="32" t="s">
        <v>92</v>
      </c>
      <c r="MYU47" s="8" t="s">
        <v>132</v>
      </c>
      <c r="MYV47" s="22" t="s">
        <v>46</v>
      </c>
      <c r="MYW47" s="8" t="s">
        <v>433</v>
      </c>
      <c r="MYX47" s="32" t="s">
        <v>92</v>
      </c>
      <c r="MYY47" s="8" t="s">
        <v>132</v>
      </c>
      <c r="MYZ47" s="22" t="s">
        <v>46</v>
      </c>
      <c r="MZA47" s="8" t="s">
        <v>433</v>
      </c>
      <c r="MZB47" s="32" t="s">
        <v>92</v>
      </c>
      <c r="MZC47" s="8" t="s">
        <v>132</v>
      </c>
      <c r="MZD47" s="22" t="s">
        <v>46</v>
      </c>
      <c r="MZE47" s="8" t="s">
        <v>433</v>
      </c>
      <c r="MZF47" s="32" t="s">
        <v>92</v>
      </c>
      <c r="MZG47" s="8" t="s">
        <v>132</v>
      </c>
      <c r="MZH47" s="22" t="s">
        <v>46</v>
      </c>
      <c r="MZI47" s="8" t="s">
        <v>433</v>
      </c>
      <c r="MZJ47" s="32" t="s">
        <v>92</v>
      </c>
      <c r="MZK47" s="8" t="s">
        <v>132</v>
      </c>
      <c r="MZL47" s="22" t="s">
        <v>46</v>
      </c>
      <c r="MZM47" s="8" t="s">
        <v>433</v>
      </c>
      <c r="MZN47" s="32" t="s">
        <v>92</v>
      </c>
      <c r="MZO47" s="8" t="s">
        <v>132</v>
      </c>
      <c r="MZP47" s="22" t="s">
        <v>46</v>
      </c>
      <c r="MZQ47" s="8" t="s">
        <v>433</v>
      </c>
      <c r="MZR47" s="32" t="s">
        <v>92</v>
      </c>
      <c r="MZS47" s="8" t="s">
        <v>132</v>
      </c>
      <c r="MZT47" s="22" t="s">
        <v>46</v>
      </c>
      <c r="MZU47" s="8" t="s">
        <v>433</v>
      </c>
      <c r="MZV47" s="32" t="s">
        <v>92</v>
      </c>
      <c r="MZW47" s="8" t="s">
        <v>132</v>
      </c>
      <c r="MZX47" s="22" t="s">
        <v>46</v>
      </c>
      <c r="MZY47" s="8" t="s">
        <v>433</v>
      </c>
      <c r="MZZ47" s="32" t="s">
        <v>92</v>
      </c>
      <c r="NAA47" s="8" t="s">
        <v>132</v>
      </c>
      <c r="NAB47" s="22" t="s">
        <v>46</v>
      </c>
      <c r="NAC47" s="8" t="s">
        <v>433</v>
      </c>
      <c r="NAD47" s="32" t="s">
        <v>92</v>
      </c>
      <c r="NAE47" s="8" t="s">
        <v>132</v>
      </c>
      <c r="NAF47" s="22" t="s">
        <v>46</v>
      </c>
      <c r="NAG47" s="8" t="s">
        <v>433</v>
      </c>
      <c r="NAH47" s="32" t="s">
        <v>92</v>
      </c>
      <c r="NAI47" s="8" t="s">
        <v>132</v>
      </c>
      <c r="NAJ47" s="22" t="s">
        <v>46</v>
      </c>
      <c r="NAK47" s="8" t="s">
        <v>433</v>
      </c>
      <c r="NAL47" s="32" t="s">
        <v>92</v>
      </c>
      <c r="NAM47" s="8" t="s">
        <v>132</v>
      </c>
      <c r="NAN47" s="22" t="s">
        <v>46</v>
      </c>
      <c r="NAO47" s="8" t="s">
        <v>433</v>
      </c>
      <c r="NAP47" s="32" t="s">
        <v>92</v>
      </c>
      <c r="NAQ47" s="8" t="s">
        <v>132</v>
      </c>
      <c r="NAR47" s="22" t="s">
        <v>46</v>
      </c>
      <c r="NAS47" s="8" t="s">
        <v>433</v>
      </c>
      <c r="NAT47" s="32" t="s">
        <v>92</v>
      </c>
      <c r="NAU47" s="8" t="s">
        <v>132</v>
      </c>
      <c r="NAV47" s="22" t="s">
        <v>46</v>
      </c>
      <c r="NAW47" s="8" t="s">
        <v>433</v>
      </c>
      <c r="NAX47" s="32" t="s">
        <v>92</v>
      </c>
      <c r="NAY47" s="8" t="s">
        <v>132</v>
      </c>
      <c r="NAZ47" s="22" t="s">
        <v>46</v>
      </c>
      <c r="NBA47" s="8" t="s">
        <v>433</v>
      </c>
      <c r="NBB47" s="32" t="s">
        <v>92</v>
      </c>
      <c r="NBC47" s="8" t="s">
        <v>132</v>
      </c>
      <c r="NBD47" s="22" t="s">
        <v>46</v>
      </c>
      <c r="NBE47" s="8" t="s">
        <v>433</v>
      </c>
      <c r="NBF47" s="32" t="s">
        <v>92</v>
      </c>
      <c r="NBG47" s="8" t="s">
        <v>132</v>
      </c>
      <c r="NBH47" s="22" t="s">
        <v>46</v>
      </c>
      <c r="NBI47" s="8" t="s">
        <v>433</v>
      </c>
      <c r="NBJ47" s="32" t="s">
        <v>92</v>
      </c>
      <c r="NBK47" s="8" t="s">
        <v>132</v>
      </c>
      <c r="NBL47" s="22" t="s">
        <v>46</v>
      </c>
      <c r="NBM47" s="8" t="s">
        <v>433</v>
      </c>
      <c r="NBN47" s="32" t="s">
        <v>92</v>
      </c>
      <c r="NBO47" s="8" t="s">
        <v>132</v>
      </c>
      <c r="NBP47" s="22" t="s">
        <v>46</v>
      </c>
      <c r="NBQ47" s="8" t="s">
        <v>433</v>
      </c>
      <c r="NBR47" s="32" t="s">
        <v>92</v>
      </c>
      <c r="NBS47" s="8" t="s">
        <v>132</v>
      </c>
      <c r="NBT47" s="22" t="s">
        <v>46</v>
      </c>
      <c r="NBU47" s="8" t="s">
        <v>433</v>
      </c>
      <c r="NBV47" s="32" t="s">
        <v>92</v>
      </c>
      <c r="NBW47" s="8" t="s">
        <v>132</v>
      </c>
      <c r="NBX47" s="22" t="s">
        <v>46</v>
      </c>
      <c r="NBY47" s="8" t="s">
        <v>433</v>
      </c>
      <c r="NBZ47" s="32" t="s">
        <v>92</v>
      </c>
      <c r="NCA47" s="8" t="s">
        <v>132</v>
      </c>
      <c r="NCB47" s="22" t="s">
        <v>46</v>
      </c>
      <c r="NCC47" s="8" t="s">
        <v>433</v>
      </c>
      <c r="NCD47" s="32" t="s">
        <v>92</v>
      </c>
      <c r="NCE47" s="8" t="s">
        <v>132</v>
      </c>
      <c r="NCF47" s="22" t="s">
        <v>46</v>
      </c>
      <c r="NCG47" s="8" t="s">
        <v>433</v>
      </c>
      <c r="NCH47" s="32" t="s">
        <v>92</v>
      </c>
      <c r="NCI47" s="8" t="s">
        <v>132</v>
      </c>
      <c r="NCJ47" s="22" t="s">
        <v>46</v>
      </c>
      <c r="NCK47" s="8" t="s">
        <v>433</v>
      </c>
      <c r="NCL47" s="32" t="s">
        <v>92</v>
      </c>
      <c r="NCM47" s="8" t="s">
        <v>132</v>
      </c>
      <c r="NCN47" s="22" t="s">
        <v>46</v>
      </c>
      <c r="NCO47" s="8" t="s">
        <v>433</v>
      </c>
      <c r="NCP47" s="32" t="s">
        <v>92</v>
      </c>
      <c r="NCQ47" s="8" t="s">
        <v>132</v>
      </c>
      <c r="NCR47" s="22" t="s">
        <v>46</v>
      </c>
      <c r="NCS47" s="8" t="s">
        <v>433</v>
      </c>
      <c r="NCT47" s="32" t="s">
        <v>92</v>
      </c>
      <c r="NCU47" s="8" t="s">
        <v>132</v>
      </c>
      <c r="NCV47" s="22" t="s">
        <v>46</v>
      </c>
      <c r="NCW47" s="8" t="s">
        <v>433</v>
      </c>
      <c r="NCX47" s="32" t="s">
        <v>92</v>
      </c>
      <c r="NCY47" s="8" t="s">
        <v>132</v>
      </c>
      <c r="NCZ47" s="22" t="s">
        <v>46</v>
      </c>
      <c r="NDA47" s="8" t="s">
        <v>433</v>
      </c>
      <c r="NDB47" s="32" t="s">
        <v>92</v>
      </c>
      <c r="NDC47" s="8" t="s">
        <v>132</v>
      </c>
      <c r="NDD47" s="22" t="s">
        <v>46</v>
      </c>
      <c r="NDE47" s="8" t="s">
        <v>433</v>
      </c>
      <c r="NDF47" s="32" t="s">
        <v>92</v>
      </c>
      <c r="NDG47" s="8" t="s">
        <v>132</v>
      </c>
      <c r="NDH47" s="22" t="s">
        <v>46</v>
      </c>
      <c r="NDI47" s="8" t="s">
        <v>433</v>
      </c>
      <c r="NDJ47" s="32" t="s">
        <v>92</v>
      </c>
      <c r="NDK47" s="8" t="s">
        <v>132</v>
      </c>
      <c r="NDL47" s="22" t="s">
        <v>46</v>
      </c>
      <c r="NDM47" s="8" t="s">
        <v>433</v>
      </c>
      <c r="NDN47" s="32" t="s">
        <v>92</v>
      </c>
      <c r="NDO47" s="8" t="s">
        <v>132</v>
      </c>
      <c r="NDP47" s="22" t="s">
        <v>46</v>
      </c>
      <c r="NDQ47" s="8" t="s">
        <v>433</v>
      </c>
      <c r="NDR47" s="32" t="s">
        <v>92</v>
      </c>
      <c r="NDS47" s="8" t="s">
        <v>132</v>
      </c>
      <c r="NDT47" s="22" t="s">
        <v>46</v>
      </c>
      <c r="NDU47" s="8" t="s">
        <v>433</v>
      </c>
      <c r="NDV47" s="32" t="s">
        <v>92</v>
      </c>
      <c r="NDW47" s="8" t="s">
        <v>132</v>
      </c>
      <c r="NDX47" s="22" t="s">
        <v>46</v>
      </c>
      <c r="NDY47" s="8" t="s">
        <v>433</v>
      </c>
      <c r="NDZ47" s="32" t="s">
        <v>92</v>
      </c>
      <c r="NEA47" s="8" t="s">
        <v>132</v>
      </c>
      <c r="NEB47" s="22" t="s">
        <v>46</v>
      </c>
      <c r="NEC47" s="8" t="s">
        <v>433</v>
      </c>
      <c r="NED47" s="32" t="s">
        <v>92</v>
      </c>
      <c r="NEE47" s="8" t="s">
        <v>132</v>
      </c>
      <c r="NEF47" s="22" t="s">
        <v>46</v>
      </c>
      <c r="NEG47" s="8" t="s">
        <v>433</v>
      </c>
      <c r="NEH47" s="32" t="s">
        <v>92</v>
      </c>
      <c r="NEI47" s="8" t="s">
        <v>132</v>
      </c>
      <c r="NEJ47" s="22" t="s">
        <v>46</v>
      </c>
      <c r="NEK47" s="8" t="s">
        <v>433</v>
      </c>
      <c r="NEL47" s="32" t="s">
        <v>92</v>
      </c>
      <c r="NEM47" s="8" t="s">
        <v>132</v>
      </c>
      <c r="NEN47" s="22" t="s">
        <v>46</v>
      </c>
      <c r="NEO47" s="8" t="s">
        <v>433</v>
      </c>
      <c r="NEP47" s="32" t="s">
        <v>92</v>
      </c>
      <c r="NEQ47" s="8" t="s">
        <v>132</v>
      </c>
      <c r="NER47" s="22" t="s">
        <v>46</v>
      </c>
      <c r="NES47" s="8" t="s">
        <v>433</v>
      </c>
      <c r="NET47" s="32" t="s">
        <v>92</v>
      </c>
      <c r="NEU47" s="8" t="s">
        <v>132</v>
      </c>
      <c r="NEV47" s="22" t="s">
        <v>46</v>
      </c>
      <c r="NEW47" s="8" t="s">
        <v>433</v>
      </c>
      <c r="NEX47" s="32" t="s">
        <v>92</v>
      </c>
      <c r="NEY47" s="8" t="s">
        <v>132</v>
      </c>
      <c r="NEZ47" s="22" t="s">
        <v>46</v>
      </c>
      <c r="NFA47" s="8" t="s">
        <v>433</v>
      </c>
      <c r="NFB47" s="32" t="s">
        <v>92</v>
      </c>
      <c r="NFC47" s="8" t="s">
        <v>132</v>
      </c>
      <c r="NFD47" s="22" t="s">
        <v>46</v>
      </c>
      <c r="NFE47" s="8" t="s">
        <v>433</v>
      </c>
      <c r="NFF47" s="32" t="s">
        <v>92</v>
      </c>
      <c r="NFG47" s="8" t="s">
        <v>132</v>
      </c>
      <c r="NFH47" s="22" t="s">
        <v>46</v>
      </c>
      <c r="NFI47" s="8" t="s">
        <v>433</v>
      </c>
      <c r="NFJ47" s="32" t="s">
        <v>92</v>
      </c>
      <c r="NFK47" s="8" t="s">
        <v>132</v>
      </c>
      <c r="NFL47" s="22" t="s">
        <v>46</v>
      </c>
      <c r="NFM47" s="8" t="s">
        <v>433</v>
      </c>
      <c r="NFN47" s="32" t="s">
        <v>92</v>
      </c>
      <c r="NFO47" s="8" t="s">
        <v>132</v>
      </c>
      <c r="NFP47" s="22" t="s">
        <v>46</v>
      </c>
      <c r="NFQ47" s="8" t="s">
        <v>433</v>
      </c>
      <c r="NFR47" s="32" t="s">
        <v>92</v>
      </c>
      <c r="NFS47" s="8" t="s">
        <v>132</v>
      </c>
      <c r="NFT47" s="22" t="s">
        <v>46</v>
      </c>
      <c r="NFU47" s="8" t="s">
        <v>433</v>
      </c>
      <c r="NFV47" s="32" t="s">
        <v>92</v>
      </c>
      <c r="NFW47" s="8" t="s">
        <v>132</v>
      </c>
      <c r="NFX47" s="22" t="s">
        <v>46</v>
      </c>
      <c r="NFY47" s="8" t="s">
        <v>433</v>
      </c>
      <c r="NFZ47" s="32" t="s">
        <v>92</v>
      </c>
      <c r="NGA47" s="8" t="s">
        <v>132</v>
      </c>
      <c r="NGB47" s="22" t="s">
        <v>46</v>
      </c>
      <c r="NGC47" s="8" t="s">
        <v>433</v>
      </c>
      <c r="NGD47" s="32" t="s">
        <v>92</v>
      </c>
      <c r="NGE47" s="8" t="s">
        <v>132</v>
      </c>
      <c r="NGF47" s="22" t="s">
        <v>46</v>
      </c>
      <c r="NGG47" s="8" t="s">
        <v>433</v>
      </c>
      <c r="NGH47" s="32" t="s">
        <v>92</v>
      </c>
      <c r="NGI47" s="8" t="s">
        <v>132</v>
      </c>
      <c r="NGJ47" s="22" t="s">
        <v>46</v>
      </c>
      <c r="NGK47" s="8" t="s">
        <v>433</v>
      </c>
      <c r="NGL47" s="32" t="s">
        <v>92</v>
      </c>
      <c r="NGM47" s="8" t="s">
        <v>132</v>
      </c>
      <c r="NGN47" s="22" t="s">
        <v>46</v>
      </c>
      <c r="NGO47" s="8" t="s">
        <v>433</v>
      </c>
      <c r="NGP47" s="32" t="s">
        <v>92</v>
      </c>
      <c r="NGQ47" s="8" t="s">
        <v>132</v>
      </c>
      <c r="NGR47" s="22" t="s">
        <v>46</v>
      </c>
      <c r="NGS47" s="8" t="s">
        <v>433</v>
      </c>
      <c r="NGT47" s="32" t="s">
        <v>92</v>
      </c>
      <c r="NGU47" s="8" t="s">
        <v>132</v>
      </c>
      <c r="NGV47" s="22" t="s">
        <v>46</v>
      </c>
      <c r="NGW47" s="8" t="s">
        <v>433</v>
      </c>
      <c r="NGX47" s="32" t="s">
        <v>92</v>
      </c>
      <c r="NGY47" s="8" t="s">
        <v>132</v>
      </c>
      <c r="NGZ47" s="22" t="s">
        <v>46</v>
      </c>
      <c r="NHA47" s="8" t="s">
        <v>433</v>
      </c>
      <c r="NHB47" s="32" t="s">
        <v>92</v>
      </c>
      <c r="NHC47" s="8" t="s">
        <v>132</v>
      </c>
      <c r="NHD47" s="22" t="s">
        <v>46</v>
      </c>
      <c r="NHE47" s="8" t="s">
        <v>433</v>
      </c>
      <c r="NHF47" s="32" t="s">
        <v>92</v>
      </c>
      <c r="NHG47" s="8" t="s">
        <v>132</v>
      </c>
      <c r="NHH47" s="22" t="s">
        <v>46</v>
      </c>
      <c r="NHI47" s="8" t="s">
        <v>433</v>
      </c>
      <c r="NHJ47" s="32" t="s">
        <v>92</v>
      </c>
      <c r="NHK47" s="8" t="s">
        <v>132</v>
      </c>
      <c r="NHL47" s="22" t="s">
        <v>46</v>
      </c>
      <c r="NHM47" s="8" t="s">
        <v>433</v>
      </c>
      <c r="NHN47" s="32" t="s">
        <v>92</v>
      </c>
      <c r="NHO47" s="8" t="s">
        <v>132</v>
      </c>
      <c r="NHP47" s="22" t="s">
        <v>46</v>
      </c>
      <c r="NHQ47" s="8" t="s">
        <v>433</v>
      </c>
      <c r="NHR47" s="32" t="s">
        <v>92</v>
      </c>
      <c r="NHS47" s="8" t="s">
        <v>132</v>
      </c>
      <c r="NHT47" s="22" t="s">
        <v>46</v>
      </c>
      <c r="NHU47" s="8" t="s">
        <v>433</v>
      </c>
      <c r="NHV47" s="32" t="s">
        <v>92</v>
      </c>
      <c r="NHW47" s="8" t="s">
        <v>132</v>
      </c>
      <c r="NHX47" s="22" t="s">
        <v>46</v>
      </c>
      <c r="NHY47" s="8" t="s">
        <v>433</v>
      </c>
      <c r="NHZ47" s="32" t="s">
        <v>92</v>
      </c>
      <c r="NIA47" s="8" t="s">
        <v>132</v>
      </c>
      <c r="NIB47" s="22" t="s">
        <v>46</v>
      </c>
      <c r="NIC47" s="8" t="s">
        <v>433</v>
      </c>
      <c r="NID47" s="32" t="s">
        <v>92</v>
      </c>
      <c r="NIE47" s="8" t="s">
        <v>132</v>
      </c>
      <c r="NIF47" s="22" t="s">
        <v>46</v>
      </c>
      <c r="NIG47" s="8" t="s">
        <v>433</v>
      </c>
      <c r="NIH47" s="32" t="s">
        <v>92</v>
      </c>
      <c r="NII47" s="8" t="s">
        <v>132</v>
      </c>
      <c r="NIJ47" s="22" t="s">
        <v>46</v>
      </c>
      <c r="NIK47" s="8" t="s">
        <v>433</v>
      </c>
      <c r="NIL47" s="32" t="s">
        <v>92</v>
      </c>
      <c r="NIM47" s="8" t="s">
        <v>132</v>
      </c>
      <c r="NIN47" s="22" t="s">
        <v>46</v>
      </c>
      <c r="NIO47" s="8" t="s">
        <v>433</v>
      </c>
      <c r="NIP47" s="32" t="s">
        <v>92</v>
      </c>
      <c r="NIQ47" s="8" t="s">
        <v>132</v>
      </c>
      <c r="NIR47" s="22" t="s">
        <v>46</v>
      </c>
      <c r="NIS47" s="8" t="s">
        <v>433</v>
      </c>
      <c r="NIT47" s="32" t="s">
        <v>92</v>
      </c>
      <c r="NIU47" s="8" t="s">
        <v>132</v>
      </c>
      <c r="NIV47" s="22" t="s">
        <v>46</v>
      </c>
      <c r="NIW47" s="8" t="s">
        <v>433</v>
      </c>
      <c r="NIX47" s="32" t="s">
        <v>92</v>
      </c>
      <c r="NIY47" s="8" t="s">
        <v>132</v>
      </c>
      <c r="NIZ47" s="22" t="s">
        <v>46</v>
      </c>
      <c r="NJA47" s="8" t="s">
        <v>433</v>
      </c>
      <c r="NJB47" s="32" t="s">
        <v>92</v>
      </c>
      <c r="NJC47" s="8" t="s">
        <v>132</v>
      </c>
      <c r="NJD47" s="22" t="s">
        <v>46</v>
      </c>
      <c r="NJE47" s="8" t="s">
        <v>433</v>
      </c>
      <c r="NJF47" s="32" t="s">
        <v>92</v>
      </c>
      <c r="NJG47" s="8" t="s">
        <v>132</v>
      </c>
      <c r="NJH47" s="22" t="s">
        <v>46</v>
      </c>
      <c r="NJI47" s="8" t="s">
        <v>433</v>
      </c>
      <c r="NJJ47" s="32" t="s">
        <v>92</v>
      </c>
      <c r="NJK47" s="8" t="s">
        <v>132</v>
      </c>
      <c r="NJL47" s="22" t="s">
        <v>46</v>
      </c>
      <c r="NJM47" s="8" t="s">
        <v>433</v>
      </c>
      <c r="NJN47" s="32" t="s">
        <v>92</v>
      </c>
      <c r="NJO47" s="8" t="s">
        <v>132</v>
      </c>
      <c r="NJP47" s="22" t="s">
        <v>46</v>
      </c>
      <c r="NJQ47" s="8" t="s">
        <v>433</v>
      </c>
      <c r="NJR47" s="32" t="s">
        <v>92</v>
      </c>
      <c r="NJS47" s="8" t="s">
        <v>132</v>
      </c>
      <c r="NJT47" s="22" t="s">
        <v>46</v>
      </c>
      <c r="NJU47" s="8" t="s">
        <v>433</v>
      </c>
      <c r="NJV47" s="32" t="s">
        <v>92</v>
      </c>
      <c r="NJW47" s="8" t="s">
        <v>132</v>
      </c>
      <c r="NJX47" s="22" t="s">
        <v>46</v>
      </c>
      <c r="NJY47" s="8" t="s">
        <v>433</v>
      </c>
      <c r="NJZ47" s="32" t="s">
        <v>92</v>
      </c>
      <c r="NKA47" s="8" t="s">
        <v>132</v>
      </c>
      <c r="NKB47" s="22" t="s">
        <v>46</v>
      </c>
      <c r="NKC47" s="8" t="s">
        <v>433</v>
      </c>
      <c r="NKD47" s="32" t="s">
        <v>92</v>
      </c>
      <c r="NKE47" s="8" t="s">
        <v>132</v>
      </c>
      <c r="NKF47" s="22" t="s">
        <v>46</v>
      </c>
      <c r="NKG47" s="8" t="s">
        <v>433</v>
      </c>
      <c r="NKH47" s="32" t="s">
        <v>92</v>
      </c>
      <c r="NKI47" s="8" t="s">
        <v>132</v>
      </c>
      <c r="NKJ47" s="22" t="s">
        <v>46</v>
      </c>
      <c r="NKK47" s="8" t="s">
        <v>433</v>
      </c>
      <c r="NKL47" s="32" t="s">
        <v>92</v>
      </c>
      <c r="NKM47" s="8" t="s">
        <v>132</v>
      </c>
      <c r="NKN47" s="22" t="s">
        <v>46</v>
      </c>
      <c r="NKO47" s="8" t="s">
        <v>433</v>
      </c>
      <c r="NKP47" s="32" t="s">
        <v>92</v>
      </c>
      <c r="NKQ47" s="8" t="s">
        <v>132</v>
      </c>
      <c r="NKR47" s="22" t="s">
        <v>46</v>
      </c>
      <c r="NKS47" s="8" t="s">
        <v>433</v>
      </c>
      <c r="NKT47" s="32" t="s">
        <v>92</v>
      </c>
      <c r="NKU47" s="8" t="s">
        <v>132</v>
      </c>
      <c r="NKV47" s="22" t="s">
        <v>46</v>
      </c>
      <c r="NKW47" s="8" t="s">
        <v>433</v>
      </c>
      <c r="NKX47" s="32" t="s">
        <v>92</v>
      </c>
      <c r="NKY47" s="8" t="s">
        <v>132</v>
      </c>
      <c r="NKZ47" s="22" t="s">
        <v>46</v>
      </c>
      <c r="NLA47" s="8" t="s">
        <v>433</v>
      </c>
      <c r="NLB47" s="32" t="s">
        <v>92</v>
      </c>
      <c r="NLC47" s="8" t="s">
        <v>132</v>
      </c>
      <c r="NLD47" s="22" t="s">
        <v>46</v>
      </c>
      <c r="NLE47" s="8" t="s">
        <v>433</v>
      </c>
      <c r="NLF47" s="32" t="s">
        <v>92</v>
      </c>
      <c r="NLG47" s="8" t="s">
        <v>132</v>
      </c>
      <c r="NLH47" s="22" t="s">
        <v>46</v>
      </c>
      <c r="NLI47" s="8" t="s">
        <v>433</v>
      </c>
      <c r="NLJ47" s="32" t="s">
        <v>92</v>
      </c>
      <c r="NLK47" s="8" t="s">
        <v>132</v>
      </c>
      <c r="NLL47" s="22" t="s">
        <v>46</v>
      </c>
      <c r="NLM47" s="8" t="s">
        <v>433</v>
      </c>
      <c r="NLN47" s="32" t="s">
        <v>92</v>
      </c>
      <c r="NLO47" s="8" t="s">
        <v>132</v>
      </c>
      <c r="NLP47" s="22" t="s">
        <v>46</v>
      </c>
      <c r="NLQ47" s="8" t="s">
        <v>433</v>
      </c>
      <c r="NLR47" s="32" t="s">
        <v>92</v>
      </c>
      <c r="NLS47" s="8" t="s">
        <v>132</v>
      </c>
      <c r="NLT47" s="22" t="s">
        <v>46</v>
      </c>
      <c r="NLU47" s="8" t="s">
        <v>433</v>
      </c>
      <c r="NLV47" s="32" t="s">
        <v>92</v>
      </c>
      <c r="NLW47" s="8" t="s">
        <v>132</v>
      </c>
      <c r="NLX47" s="22" t="s">
        <v>46</v>
      </c>
      <c r="NLY47" s="8" t="s">
        <v>433</v>
      </c>
      <c r="NLZ47" s="32" t="s">
        <v>92</v>
      </c>
      <c r="NMA47" s="8" t="s">
        <v>132</v>
      </c>
      <c r="NMB47" s="22" t="s">
        <v>46</v>
      </c>
      <c r="NMC47" s="8" t="s">
        <v>433</v>
      </c>
      <c r="NMD47" s="32" t="s">
        <v>92</v>
      </c>
      <c r="NME47" s="8" t="s">
        <v>132</v>
      </c>
      <c r="NMF47" s="22" t="s">
        <v>46</v>
      </c>
      <c r="NMG47" s="8" t="s">
        <v>433</v>
      </c>
      <c r="NMH47" s="32" t="s">
        <v>92</v>
      </c>
      <c r="NMI47" s="8" t="s">
        <v>132</v>
      </c>
      <c r="NMJ47" s="22" t="s">
        <v>46</v>
      </c>
      <c r="NMK47" s="8" t="s">
        <v>433</v>
      </c>
      <c r="NML47" s="32" t="s">
        <v>92</v>
      </c>
      <c r="NMM47" s="8" t="s">
        <v>132</v>
      </c>
      <c r="NMN47" s="22" t="s">
        <v>46</v>
      </c>
      <c r="NMO47" s="8" t="s">
        <v>433</v>
      </c>
      <c r="NMP47" s="32" t="s">
        <v>92</v>
      </c>
      <c r="NMQ47" s="8" t="s">
        <v>132</v>
      </c>
      <c r="NMR47" s="22" t="s">
        <v>46</v>
      </c>
      <c r="NMS47" s="8" t="s">
        <v>433</v>
      </c>
      <c r="NMT47" s="32" t="s">
        <v>92</v>
      </c>
      <c r="NMU47" s="8" t="s">
        <v>132</v>
      </c>
      <c r="NMV47" s="22" t="s">
        <v>46</v>
      </c>
      <c r="NMW47" s="8" t="s">
        <v>433</v>
      </c>
      <c r="NMX47" s="32" t="s">
        <v>92</v>
      </c>
      <c r="NMY47" s="8" t="s">
        <v>132</v>
      </c>
      <c r="NMZ47" s="22" t="s">
        <v>46</v>
      </c>
      <c r="NNA47" s="8" t="s">
        <v>433</v>
      </c>
      <c r="NNB47" s="32" t="s">
        <v>92</v>
      </c>
      <c r="NNC47" s="8" t="s">
        <v>132</v>
      </c>
      <c r="NND47" s="22" t="s">
        <v>46</v>
      </c>
      <c r="NNE47" s="8" t="s">
        <v>433</v>
      </c>
      <c r="NNF47" s="32" t="s">
        <v>92</v>
      </c>
      <c r="NNG47" s="8" t="s">
        <v>132</v>
      </c>
      <c r="NNH47" s="22" t="s">
        <v>46</v>
      </c>
      <c r="NNI47" s="8" t="s">
        <v>433</v>
      </c>
      <c r="NNJ47" s="32" t="s">
        <v>92</v>
      </c>
      <c r="NNK47" s="8" t="s">
        <v>132</v>
      </c>
      <c r="NNL47" s="22" t="s">
        <v>46</v>
      </c>
      <c r="NNM47" s="8" t="s">
        <v>433</v>
      </c>
      <c r="NNN47" s="32" t="s">
        <v>92</v>
      </c>
      <c r="NNO47" s="8" t="s">
        <v>132</v>
      </c>
      <c r="NNP47" s="22" t="s">
        <v>46</v>
      </c>
      <c r="NNQ47" s="8" t="s">
        <v>433</v>
      </c>
      <c r="NNR47" s="32" t="s">
        <v>92</v>
      </c>
      <c r="NNS47" s="8" t="s">
        <v>132</v>
      </c>
      <c r="NNT47" s="22" t="s">
        <v>46</v>
      </c>
      <c r="NNU47" s="8" t="s">
        <v>433</v>
      </c>
      <c r="NNV47" s="32" t="s">
        <v>92</v>
      </c>
      <c r="NNW47" s="8" t="s">
        <v>132</v>
      </c>
      <c r="NNX47" s="22" t="s">
        <v>46</v>
      </c>
      <c r="NNY47" s="8" t="s">
        <v>433</v>
      </c>
      <c r="NNZ47" s="32" t="s">
        <v>92</v>
      </c>
      <c r="NOA47" s="8" t="s">
        <v>132</v>
      </c>
      <c r="NOB47" s="22" t="s">
        <v>46</v>
      </c>
      <c r="NOC47" s="8" t="s">
        <v>433</v>
      </c>
      <c r="NOD47" s="32" t="s">
        <v>92</v>
      </c>
      <c r="NOE47" s="8" t="s">
        <v>132</v>
      </c>
      <c r="NOF47" s="22" t="s">
        <v>46</v>
      </c>
      <c r="NOG47" s="8" t="s">
        <v>433</v>
      </c>
      <c r="NOH47" s="32" t="s">
        <v>92</v>
      </c>
      <c r="NOI47" s="8" t="s">
        <v>132</v>
      </c>
      <c r="NOJ47" s="22" t="s">
        <v>46</v>
      </c>
      <c r="NOK47" s="8" t="s">
        <v>433</v>
      </c>
      <c r="NOL47" s="32" t="s">
        <v>92</v>
      </c>
      <c r="NOM47" s="8" t="s">
        <v>132</v>
      </c>
      <c r="NON47" s="22" t="s">
        <v>46</v>
      </c>
      <c r="NOO47" s="8" t="s">
        <v>433</v>
      </c>
      <c r="NOP47" s="32" t="s">
        <v>92</v>
      </c>
      <c r="NOQ47" s="8" t="s">
        <v>132</v>
      </c>
      <c r="NOR47" s="22" t="s">
        <v>46</v>
      </c>
      <c r="NOS47" s="8" t="s">
        <v>433</v>
      </c>
      <c r="NOT47" s="32" t="s">
        <v>92</v>
      </c>
      <c r="NOU47" s="8" t="s">
        <v>132</v>
      </c>
      <c r="NOV47" s="22" t="s">
        <v>46</v>
      </c>
      <c r="NOW47" s="8" t="s">
        <v>433</v>
      </c>
      <c r="NOX47" s="32" t="s">
        <v>92</v>
      </c>
      <c r="NOY47" s="8" t="s">
        <v>132</v>
      </c>
      <c r="NOZ47" s="22" t="s">
        <v>46</v>
      </c>
      <c r="NPA47" s="8" t="s">
        <v>433</v>
      </c>
      <c r="NPB47" s="32" t="s">
        <v>92</v>
      </c>
      <c r="NPC47" s="8" t="s">
        <v>132</v>
      </c>
      <c r="NPD47" s="22" t="s">
        <v>46</v>
      </c>
      <c r="NPE47" s="8" t="s">
        <v>433</v>
      </c>
      <c r="NPF47" s="32" t="s">
        <v>92</v>
      </c>
      <c r="NPG47" s="8" t="s">
        <v>132</v>
      </c>
      <c r="NPH47" s="22" t="s">
        <v>46</v>
      </c>
      <c r="NPI47" s="8" t="s">
        <v>433</v>
      </c>
      <c r="NPJ47" s="32" t="s">
        <v>92</v>
      </c>
      <c r="NPK47" s="8" t="s">
        <v>132</v>
      </c>
      <c r="NPL47" s="22" t="s">
        <v>46</v>
      </c>
      <c r="NPM47" s="8" t="s">
        <v>433</v>
      </c>
      <c r="NPN47" s="32" t="s">
        <v>92</v>
      </c>
      <c r="NPO47" s="8" t="s">
        <v>132</v>
      </c>
      <c r="NPP47" s="22" t="s">
        <v>46</v>
      </c>
      <c r="NPQ47" s="8" t="s">
        <v>433</v>
      </c>
      <c r="NPR47" s="32" t="s">
        <v>92</v>
      </c>
      <c r="NPS47" s="8" t="s">
        <v>132</v>
      </c>
      <c r="NPT47" s="22" t="s">
        <v>46</v>
      </c>
      <c r="NPU47" s="8" t="s">
        <v>433</v>
      </c>
      <c r="NPV47" s="32" t="s">
        <v>92</v>
      </c>
      <c r="NPW47" s="8" t="s">
        <v>132</v>
      </c>
      <c r="NPX47" s="22" t="s">
        <v>46</v>
      </c>
      <c r="NPY47" s="8" t="s">
        <v>433</v>
      </c>
      <c r="NPZ47" s="32" t="s">
        <v>92</v>
      </c>
      <c r="NQA47" s="8" t="s">
        <v>132</v>
      </c>
      <c r="NQB47" s="22" t="s">
        <v>46</v>
      </c>
      <c r="NQC47" s="8" t="s">
        <v>433</v>
      </c>
      <c r="NQD47" s="32" t="s">
        <v>92</v>
      </c>
      <c r="NQE47" s="8" t="s">
        <v>132</v>
      </c>
      <c r="NQF47" s="22" t="s">
        <v>46</v>
      </c>
      <c r="NQG47" s="8" t="s">
        <v>433</v>
      </c>
      <c r="NQH47" s="32" t="s">
        <v>92</v>
      </c>
      <c r="NQI47" s="8" t="s">
        <v>132</v>
      </c>
      <c r="NQJ47" s="22" t="s">
        <v>46</v>
      </c>
      <c r="NQK47" s="8" t="s">
        <v>433</v>
      </c>
      <c r="NQL47" s="32" t="s">
        <v>92</v>
      </c>
      <c r="NQM47" s="8" t="s">
        <v>132</v>
      </c>
      <c r="NQN47" s="22" t="s">
        <v>46</v>
      </c>
      <c r="NQO47" s="8" t="s">
        <v>433</v>
      </c>
      <c r="NQP47" s="32" t="s">
        <v>92</v>
      </c>
      <c r="NQQ47" s="8" t="s">
        <v>132</v>
      </c>
      <c r="NQR47" s="22" t="s">
        <v>46</v>
      </c>
      <c r="NQS47" s="8" t="s">
        <v>433</v>
      </c>
      <c r="NQT47" s="32" t="s">
        <v>92</v>
      </c>
      <c r="NQU47" s="8" t="s">
        <v>132</v>
      </c>
      <c r="NQV47" s="22" t="s">
        <v>46</v>
      </c>
      <c r="NQW47" s="8" t="s">
        <v>433</v>
      </c>
      <c r="NQX47" s="32" t="s">
        <v>92</v>
      </c>
      <c r="NQY47" s="8" t="s">
        <v>132</v>
      </c>
      <c r="NQZ47" s="22" t="s">
        <v>46</v>
      </c>
      <c r="NRA47" s="8" t="s">
        <v>433</v>
      </c>
      <c r="NRB47" s="32" t="s">
        <v>92</v>
      </c>
      <c r="NRC47" s="8" t="s">
        <v>132</v>
      </c>
      <c r="NRD47" s="22" t="s">
        <v>46</v>
      </c>
      <c r="NRE47" s="8" t="s">
        <v>433</v>
      </c>
      <c r="NRF47" s="32" t="s">
        <v>92</v>
      </c>
      <c r="NRG47" s="8" t="s">
        <v>132</v>
      </c>
      <c r="NRH47" s="22" t="s">
        <v>46</v>
      </c>
      <c r="NRI47" s="8" t="s">
        <v>433</v>
      </c>
      <c r="NRJ47" s="32" t="s">
        <v>92</v>
      </c>
      <c r="NRK47" s="8" t="s">
        <v>132</v>
      </c>
      <c r="NRL47" s="22" t="s">
        <v>46</v>
      </c>
      <c r="NRM47" s="8" t="s">
        <v>433</v>
      </c>
      <c r="NRN47" s="32" t="s">
        <v>92</v>
      </c>
      <c r="NRO47" s="8" t="s">
        <v>132</v>
      </c>
      <c r="NRP47" s="22" t="s">
        <v>46</v>
      </c>
      <c r="NRQ47" s="8" t="s">
        <v>433</v>
      </c>
      <c r="NRR47" s="32" t="s">
        <v>92</v>
      </c>
      <c r="NRS47" s="8" t="s">
        <v>132</v>
      </c>
      <c r="NRT47" s="22" t="s">
        <v>46</v>
      </c>
      <c r="NRU47" s="8" t="s">
        <v>433</v>
      </c>
      <c r="NRV47" s="32" t="s">
        <v>92</v>
      </c>
      <c r="NRW47" s="8" t="s">
        <v>132</v>
      </c>
      <c r="NRX47" s="22" t="s">
        <v>46</v>
      </c>
      <c r="NRY47" s="8" t="s">
        <v>433</v>
      </c>
      <c r="NRZ47" s="32" t="s">
        <v>92</v>
      </c>
      <c r="NSA47" s="8" t="s">
        <v>132</v>
      </c>
      <c r="NSB47" s="22" t="s">
        <v>46</v>
      </c>
      <c r="NSC47" s="8" t="s">
        <v>433</v>
      </c>
      <c r="NSD47" s="32" t="s">
        <v>92</v>
      </c>
      <c r="NSE47" s="8" t="s">
        <v>132</v>
      </c>
      <c r="NSF47" s="22" t="s">
        <v>46</v>
      </c>
      <c r="NSG47" s="8" t="s">
        <v>433</v>
      </c>
      <c r="NSH47" s="32" t="s">
        <v>92</v>
      </c>
      <c r="NSI47" s="8" t="s">
        <v>132</v>
      </c>
      <c r="NSJ47" s="22" t="s">
        <v>46</v>
      </c>
      <c r="NSK47" s="8" t="s">
        <v>433</v>
      </c>
      <c r="NSL47" s="32" t="s">
        <v>92</v>
      </c>
      <c r="NSM47" s="8" t="s">
        <v>132</v>
      </c>
      <c r="NSN47" s="22" t="s">
        <v>46</v>
      </c>
      <c r="NSO47" s="8" t="s">
        <v>433</v>
      </c>
      <c r="NSP47" s="32" t="s">
        <v>92</v>
      </c>
      <c r="NSQ47" s="8" t="s">
        <v>132</v>
      </c>
      <c r="NSR47" s="22" t="s">
        <v>46</v>
      </c>
      <c r="NSS47" s="8" t="s">
        <v>433</v>
      </c>
      <c r="NST47" s="32" t="s">
        <v>92</v>
      </c>
      <c r="NSU47" s="8" t="s">
        <v>132</v>
      </c>
      <c r="NSV47" s="22" t="s">
        <v>46</v>
      </c>
      <c r="NSW47" s="8" t="s">
        <v>433</v>
      </c>
      <c r="NSX47" s="32" t="s">
        <v>92</v>
      </c>
      <c r="NSY47" s="8" t="s">
        <v>132</v>
      </c>
      <c r="NSZ47" s="22" t="s">
        <v>46</v>
      </c>
      <c r="NTA47" s="8" t="s">
        <v>433</v>
      </c>
      <c r="NTB47" s="32" t="s">
        <v>92</v>
      </c>
      <c r="NTC47" s="8" t="s">
        <v>132</v>
      </c>
      <c r="NTD47" s="22" t="s">
        <v>46</v>
      </c>
      <c r="NTE47" s="8" t="s">
        <v>433</v>
      </c>
      <c r="NTF47" s="32" t="s">
        <v>92</v>
      </c>
      <c r="NTG47" s="8" t="s">
        <v>132</v>
      </c>
      <c r="NTH47" s="22" t="s">
        <v>46</v>
      </c>
      <c r="NTI47" s="8" t="s">
        <v>433</v>
      </c>
      <c r="NTJ47" s="32" t="s">
        <v>92</v>
      </c>
      <c r="NTK47" s="8" t="s">
        <v>132</v>
      </c>
      <c r="NTL47" s="22" t="s">
        <v>46</v>
      </c>
      <c r="NTM47" s="8" t="s">
        <v>433</v>
      </c>
      <c r="NTN47" s="32" t="s">
        <v>92</v>
      </c>
      <c r="NTO47" s="8" t="s">
        <v>132</v>
      </c>
      <c r="NTP47" s="22" t="s">
        <v>46</v>
      </c>
      <c r="NTQ47" s="8" t="s">
        <v>433</v>
      </c>
      <c r="NTR47" s="32" t="s">
        <v>92</v>
      </c>
      <c r="NTS47" s="8" t="s">
        <v>132</v>
      </c>
      <c r="NTT47" s="22" t="s">
        <v>46</v>
      </c>
      <c r="NTU47" s="8" t="s">
        <v>433</v>
      </c>
      <c r="NTV47" s="32" t="s">
        <v>92</v>
      </c>
      <c r="NTW47" s="8" t="s">
        <v>132</v>
      </c>
      <c r="NTX47" s="22" t="s">
        <v>46</v>
      </c>
      <c r="NTY47" s="8" t="s">
        <v>433</v>
      </c>
      <c r="NTZ47" s="32" t="s">
        <v>92</v>
      </c>
      <c r="NUA47" s="8" t="s">
        <v>132</v>
      </c>
      <c r="NUB47" s="22" t="s">
        <v>46</v>
      </c>
      <c r="NUC47" s="8" t="s">
        <v>433</v>
      </c>
      <c r="NUD47" s="32" t="s">
        <v>92</v>
      </c>
      <c r="NUE47" s="8" t="s">
        <v>132</v>
      </c>
      <c r="NUF47" s="22" t="s">
        <v>46</v>
      </c>
      <c r="NUG47" s="8" t="s">
        <v>433</v>
      </c>
      <c r="NUH47" s="32" t="s">
        <v>92</v>
      </c>
      <c r="NUI47" s="8" t="s">
        <v>132</v>
      </c>
      <c r="NUJ47" s="22" t="s">
        <v>46</v>
      </c>
      <c r="NUK47" s="8" t="s">
        <v>433</v>
      </c>
      <c r="NUL47" s="32" t="s">
        <v>92</v>
      </c>
      <c r="NUM47" s="8" t="s">
        <v>132</v>
      </c>
      <c r="NUN47" s="22" t="s">
        <v>46</v>
      </c>
      <c r="NUO47" s="8" t="s">
        <v>433</v>
      </c>
      <c r="NUP47" s="32" t="s">
        <v>92</v>
      </c>
      <c r="NUQ47" s="8" t="s">
        <v>132</v>
      </c>
      <c r="NUR47" s="22" t="s">
        <v>46</v>
      </c>
      <c r="NUS47" s="8" t="s">
        <v>433</v>
      </c>
      <c r="NUT47" s="32" t="s">
        <v>92</v>
      </c>
      <c r="NUU47" s="8" t="s">
        <v>132</v>
      </c>
      <c r="NUV47" s="22" t="s">
        <v>46</v>
      </c>
      <c r="NUW47" s="8" t="s">
        <v>433</v>
      </c>
      <c r="NUX47" s="32" t="s">
        <v>92</v>
      </c>
      <c r="NUY47" s="8" t="s">
        <v>132</v>
      </c>
      <c r="NUZ47" s="22" t="s">
        <v>46</v>
      </c>
      <c r="NVA47" s="8" t="s">
        <v>433</v>
      </c>
      <c r="NVB47" s="32" t="s">
        <v>92</v>
      </c>
      <c r="NVC47" s="8" t="s">
        <v>132</v>
      </c>
      <c r="NVD47" s="22" t="s">
        <v>46</v>
      </c>
      <c r="NVE47" s="8" t="s">
        <v>433</v>
      </c>
      <c r="NVF47" s="32" t="s">
        <v>92</v>
      </c>
      <c r="NVG47" s="8" t="s">
        <v>132</v>
      </c>
      <c r="NVH47" s="22" t="s">
        <v>46</v>
      </c>
      <c r="NVI47" s="8" t="s">
        <v>433</v>
      </c>
      <c r="NVJ47" s="32" t="s">
        <v>92</v>
      </c>
      <c r="NVK47" s="8" t="s">
        <v>132</v>
      </c>
      <c r="NVL47" s="22" t="s">
        <v>46</v>
      </c>
      <c r="NVM47" s="8" t="s">
        <v>433</v>
      </c>
      <c r="NVN47" s="32" t="s">
        <v>92</v>
      </c>
      <c r="NVO47" s="8" t="s">
        <v>132</v>
      </c>
      <c r="NVP47" s="22" t="s">
        <v>46</v>
      </c>
      <c r="NVQ47" s="8" t="s">
        <v>433</v>
      </c>
      <c r="NVR47" s="32" t="s">
        <v>92</v>
      </c>
      <c r="NVS47" s="8" t="s">
        <v>132</v>
      </c>
      <c r="NVT47" s="22" t="s">
        <v>46</v>
      </c>
      <c r="NVU47" s="8" t="s">
        <v>433</v>
      </c>
      <c r="NVV47" s="32" t="s">
        <v>92</v>
      </c>
      <c r="NVW47" s="8" t="s">
        <v>132</v>
      </c>
      <c r="NVX47" s="22" t="s">
        <v>46</v>
      </c>
      <c r="NVY47" s="8" t="s">
        <v>433</v>
      </c>
      <c r="NVZ47" s="32" t="s">
        <v>92</v>
      </c>
      <c r="NWA47" s="8" t="s">
        <v>132</v>
      </c>
      <c r="NWB47" s="22" t="s">
        <v>46</v>
      </c>
      <c r="NWC47" s="8" t="s">
        <v>433</v>
      </c>
      <c r="NWD47" s="32" t="s">
        <v>92</v>
      </c>
      <c r="NWE47" s="8" t="s">
        <v>132</v>
      </c>
      <c r="NWF47" s="22" t="s">
        <v>46</v>
      </c>
      <c r="NWG47" s="8" t="s">
        <v>433</v>
      </c>
      <c r="NWH47" s="32" t="s">
        <v>92</v>
      </c>
      <c r="NWI47" s="8" t="s">
        <v>132</v>
      </c>
      <c r="NWJ47" s="22" t="s">
        <v>46</v>
      </c>
      <c r="NWK47" s="8" t="s">
        <v>433</v>
      </c>
      <c r="NWL47" s="32" t="s">
        <v>92</v>
      </c>
      <c r="NWM47" s="8" t="s">
        <v>132</v>
      </c>
      <c r="NWN47" s="22" t="s">
        <v>46</v>
      </c>
      <c r="NWO47" s="8" t="s">
        <v>433</v>
      </c>
      <c r="NWP47" s="32" t="s">
        <v>92</v>
      </c>
      <c r="NWQ47" s="8" t="s">
        <v>132</v>
      </c>
      <c r="NWR47" s="22" t="s">
        <v>46</v>
      </c>
      <c r="NWS47" s="8" t="s">
        <v>433</v>
      </c>
      <c r="NWT47" s="32" t="s">
        <v>92</v>
      </c>
      <c r="NWU47" s="8" t="s">
        <v>132</v>
      </c>
      <c r="NWV47" s="22" t="s">
        <v>46</v>
      </c>
      <c r="NWW47" s="8" t="s">
        <v>433</v>
      </c>
      <c r="NWX47" s="32" t="s">
        <v>92</v>
      </c>
      <c r="NWY47" s="8" t="s">
        <v>132</v>
      </c>
      <c r="NWZ47" s="22" t="s">
        <v>46</v>
      </c>
      <c r="NXA47" s="8" t="s">
        <v>433</v>
      </c>
      <c r="NXB47" s="32" t="s">
        <v>92</v>
      </c>
      <c r="NXC47" s="8" t="s">
        <v>132</v>
      </c>
      <c r="NXD47" s="22" t="s">
        <v>46</v>
      </c>
      <c r="NXE47" s="8" t="s">
        <v>433</v>
      </c>
      <c r="NXF47" s="32" t="s">
        <v>92</v>
      </c>
      <c r="NXG47" s="8" t="s">
        <v>132</v>
      </c>
      <c r="NXH47" s="22" t="s">
        <v>46</v>
      </c>
      <c r="NXI47" s="8" t="s">
        <v>433</v>
      </c>
      <c r="NXJ47" s="32" t="s">
        <v>92</v>
      </c>
      <c r="NXK47" s="8" t="s">
        <v>132</v>
      </c>
      <c r="NXL47" s="22" t="s">
        <v>46</v>
      </c>
      <c r="NXM47" s="8" t="s">
        <v>433</v>
      </c>
      <c r="NXN47" s="32" t="s">
        <v>92</v>
      </c>
      <c r="NXO47" s="8" t="s">
        <v>132</v>
      </c>
      <c r="NXP47" s="22" t="s">
        <v>46</v>
      </c>
      <c r="NXQ47" s="8" t="s">
        <v>433</v>
      </c>
      <c r="NXR47" s="32" t="s">
        <v>92</v>
      </c>
      <c r="NXS47" s="8" t="s">
        <v>132</v>
      </c>
      <c r="NXT47" s="22" t="s">
        <v>46</v>
      </c>
      <c r="NXU47" s="8" t="s">
        <v>433</v>
      </c>
      <c r="NXV47" s="32" t="s">
        <v>92</v>
      </c>
      <c r="NXW47" s="8" t="s">
        <v>132</v>
      </c>
      <c r="NXX47" s="22" t="s">
        <v>46</v>
      </c>
      <c r="NXY47" s="8" t="s">
        <v>433</v>
      </c>
      <c r="NXZ47" s="32" t="s">
        <v>92</v>
      </c>
      <c r="NYA47" s="8" t="s">
        <v>132</v>
      </c>
      <c r="NYB47" s="22" t="s">
        <v>46</v>
      </c>
      <c r="NYC47" s="8" t="s">
        <v>433</v>
      </c>
      <c r="NYD47" s="32" t="s">
        <v>92</v>
      </c>
      <c r="NYE47" s="8" t="s">
        <v>132</v>
      </c>
      <c r="NYF47" s="22" t="s">
        <v>46</v>
      </c>
      <c r="NYG47" s="8" t="s">
        <v>433</v>
      </c>
      <c r="NYH47" s="32" t="s">
        <v>92</v>
      </c>
      <c r="NYI47" s="8" t="s">
        <v>132</v>
      </c>
      <c r="NYJ47" s="22" t="s">
        <v>46</v>
      </c>
      <c r="NYK47" s="8" t="s">
        <v>433</v>
      </c>
      <c r="NYL47" s="32" t="s">
        <v>92</v>
      </c>
      <c r="NYM47" s="8" t="s">
        <v>132</v>
      </c>
      <c r="NYN47" s="22" t="s">
        <v>46</v>
      </c>
      <c r="NYO47" s="8" t="s">
        <v>433</v>
      </c>
      <c r="NYP47" s="32" t="s">
        <v>92</v>
      </c>
      <c r="NYQ47" s="8" t="s">
        <v>132</v>
      </c>
      <c r="NYR47" s="22" t="s">
        <v>46</v>
      </c>
      <c r="NYS47" s="8" t="s">
        <v>433</v>
      </c>
      <c r="NYT47" s="32" t="s">
        <v>92</v>
      </c>
      <c r="NYU47" s="8" t="s">
        <v>132</v>
      </c>
      <c r="NYV47" s="22" t="s">
        <v>46</v>
      </c>
      <c r="NYW47" s="8" t="s">
        <v>433</v>
      </c>
      <c r="NYX47" s="32" t="s">
        <v>92</v>
      </c>
      <c r="NYY47" s="8" t="s">
        <v>132</v>
      </c>
      <c r="NYZ47" s="22" t="s">
        <v>46</v>
      </c>
      <c r="NZA47" s="8" t="s">
        <v>433</v>
      </c>
      <c r="NZB47" s="32" t="s">
        <v>92</v>
      </c>
      <c r="NZC47" s="8" t="s">
        <v>132</v>
      </c>
      <c r="NZD47" s="22" t="s">
        <v>46</v>
      </c>
      <c r="NZE47" s="8" t="s">
        <v>433</v>
      </c>
      <c r="NZF47" s="32" t="s">
        <v>92</v>
      </c>
      <c r="NZG47" s="8" t="s">
        <v>132</v>
      </c>
      <c r="NZH47" s="22" t="s">
        <v>46</v>
      </c>
      <c r="NZI47" s="8" t="s">
        <v>433</v>
      </c>
      <c r="NZJ47" s="32" t="s">
        <v>92</v>
      </c>
      <c r="NZK47" s="8" t="s">
        <v>132</v>
      </c>
      <c r="NZL47" s="22" t="s">
        <v>46</v>
      </c>
      <c r="NZM47" s="8" t="s">
        <v>433</v>
      </c>
      <c r="NZN47" s="32" t="s">
        <v>92</v>
      </c>
      <c r="NZO47" s="8" t="s">
        <v>132</v>
      </c>
      <c r="NZP47" s="22" t="s">
        <v>46</v>
      </c>
      <c r="NZQ47" s="8" t="s">
        <v>433</v>
      </c>
      <c r="NZR47" s="32" t="s">
        <v>92</v>
      </c>
      <c r="NZS47" s="8" t="s">
        <v>132</v>
      </c>
      <c r="NZT47" s="22" t="s">
        <v>46</v>
      </c>
      <c r="NZU47" s="8" t="s">
        <v>433</v>
      </c>
      <c r="NZV47" s="32" t="s">
        <v>92</v>
      </c>
      <c r="NZW47" s="8" t="s">
        <v>132</v>
      </c>
      <c r="NZX47" s="22" t="s">
        <v>46</v>
      </c>
      <c r="NZY47" s="8" t="s">
        <v>433</v>
      </c>
      <c r="NZZ47" s="32" t="s">
        <v>92</v>
      </c>
      <c r="OAA47" s="8" t="s">
        <v>132</v>
      </c>
      <c r="OAB47" s="22" t="s">
        <v>46</v>
      </c>
      <c r="OAC47" s="8" t="s">
        <v>433</v>
      </c>
      <c r="OAD47" s="32" t="s">
        <v>92</v>
      </c>
      <c r="OAE47" s="8" t="s">
        <v>132</v>
      </c>
      <c r="OAF47" s="22" t="s">
        <v>46</v>
      </c>
      <c r="OAG47" s="8" t="s">
        <v>433</v>
      </c>
      <c r="OAH47" s="32" t="s">
        <v>92</v>
      </c>
      <c r="OAI47" s="8" t="s">
        <v>132</v>
      </c>
      <c r="OAJ47" s="22" t="s">
        <v>46</v>
      </c>
      <c r="OAK47" s="8" t="s">
        <v>433</v>
      </c>
      <c r="OAL47" s="32" t="s">
        <v>92</v>
      </c>
      <c r="OAM47" s="8" t="s">
        <v>132</v>
      </c>
      <c r="OAN47" s="22" t="s">
        <v>46</v>
      </c>
      <c r="OAO47" s="8" t="s">
        <v>433</v>
      </c>
      <c r="OAP47" s="32" t="s">
        <v>92</v>
      </c>
      <c r="OAQ47" s="8" t="s">
        <v>132</v>
      </c>
      <c r="OAR47" s="22" t="s">
        <v>46</v>
      </c>
      <c r="OAS47" s="8" t="s">
        <v>433</v>
      </c>
      <c r="OAT47" s="32" t="s">
        <v>92</v>
      </c>
      <c r="OAU47" s="8" t="s">
        <v>132</v>
      </c>
      <c r="OAV47" s="22" t="s">
        <v>46</v>
      </c>
      <c r="OAW47" s="8" t="s">
        <v>433</v>
      </c>
      <c r="OAX47" s="32" t="s">
        <v>92</v>
      </c>
      <c r="OAY47" s="8" t="s">
        <v>132</v>
      </c>
      <c r="OAZ47" s="22" t="s">
        <v>46</v>
      </c>
      <c r="OBA47" s="8" t="s">
        <v>433</v>
      </c>
      <c r="OBB47" s="32" t="s">
        <v>92</v>
      </c>
      <c r="OBC47" s="8" t="s">
        <v>132</v>
      </c>
      <c r="OBD47" s="22" t="s">
        <v>46</v>
      </c>
      <c r="OBE47" s="8" t="s">
        <v>433</v>
      </c>
      <c r="OBF47" s="32" t="s">
        <v>92</v>
      </c>
      <c r="OBG47" s="8" t="s">
        <v>132</v>
      </c>
      <c r="OBH47" s="22" t="s">
        <v>46</v>
      </c>
      <c r="OBI47" s="8" t="s">
        <v>433</v>
      </c>
      <c r="OBJ47" s="32" t="s">
        <v>92</v>
      </c>
      <c r="OBK47" s="8" t="s">
        <v>132</v>
      </c>
      <c r="OBL47" s="22" t="s">
        <v>46</v>
      </c>
      <c r="OBM47" s="8" t="s">
        <v>433</v>
      </c>
      <c r="OBN47" s="32" t="s">
        <v>92</v>
      </c>
      <c r="OBO47" s="8" t="s">
        <v>132</v>
      </c>
      <c r="OBP47" s="22" t="s">
        <v>46</v>
      </c>
      <c r="OBQ47" s="8" t="s">
        <v>433</v>
      </c>
      <c r="OBR47" s="32" t="s">
        <v>92</v>
      </c>
      <c r="OBS47" s="8" t="s">
        <v>132</v>
      </c>
      <c r="OBT47" s="22" t="s">
        <v>46</v>
      </c>
      <c r="OBU47" s="8" t="s">
        <v>433</v>
      </c>
      <c r="OBV47" s="32" t="s">
        <v>92</v>
      </c>
      <c r="OBW47" s="8" t="s">
        <v>132</v>
      </c>
      <c r="OBX47" s="22" t="s">
        <v>46</v>
      </c>
      <c r="OBY47" s="8" t="s">
        <v>433</v>
      </c>
      <c r="OBZ47" s="32" t="s">
        <v>92</v>
      </c>
      <c r="OCA47" s="8" t="s">
        <v>132</v>
      </c>
      <c r="OCB47" s="22" t="s">
        <v>46</v>
      </c>
      <c r="OCC47" s="8" t="s">
        <v>433</v>
      </c>
      <c r="OCD47" s="32" t="s">
        <v>92</v>
      </c>
      <c r="OCE47" s="8" t="s">
        <v>132</v>
      </c>
      <c r="OCF47" s="22" t="s">
        <v>46</v>
      </c>
      <c r="OCG47" s="8" t="s">
        <v>433</v>
      </c>
      <c r="OCH47" s="32" t="s">
        <v>92</v>
      </c>
      <c r="OCI47" s="8" t="s">
        <v>132</v>
      </c>
      <c r="OCJ47" s="22" t="s">
        <v>46</v>
      </c>
      <c r="OCK47" s="8" t="s">
        <v>433</v>
      </c>
      <c r="OCL47" s="32" t="s">
        <v>92</v>
      </c>
      <c r="OCM47" s="8" t="s">
        <v>132</v>
      </c>
      <c r="OCN47" s="22" t="s">
        <v>46</v>
      </c>
      <c r="OCO47" s="8" t="s">
        <v>433</v>
      </c>
      <c r="OCP47" s="32" t="s">
        <v>92</v>
      </c>
      <c r="OCQ47" s="8" t="s">
        <v>132</v>
      </c>
      <c r="OCR47" s="22" t="s">
        <v>46</v>
      </c>
      <c r="OCS47" s="8" t="s">
        <v>433</v>
      </c>
      <c r="OCT47" s="32" t="s">
        <v>92</v>
      </c>
      <c r="OCU47" s="8" t="s">
        <v>132</v>
      </c>
      <c r="OCV47" s="22" t="s">
        <v>46</v>
      </c>
      <c r="OCW47" s="8" t="s">
        <v>433</v>
      </c>
      <c r="OCX47" s="32" t="s">
        <v>92</v>
      </c>
      <c r="OCY47" s="8" t="s">
        <v>132</v>
      </c>
      <c r="OCZ47" s="22" t="s">
        <v>46</v>
      </c>
      <c r="ODA47" s="8" t="s">
        <v>433</v>
      </c>
      <c r="ODB47" s="32" t="s">
        <v>92</v>
      </c>
      <c r="ODC47" s="8" t="s">
        <v>132</v>
      </c>
      <c r="ODD47" s="22" t="s">
        <v>46</v>
      </c>
      <c r="ODE47" s="8" t="s">
        <v>433</v>
      </c>
      <c r="ODF47" s="32" t="s">
        <v>92</v>
      </c>
      <c r="ODG47" s="8" t="s">
        <v>132</v>
      </c>
      <c r="ODH47" s="22" t="s">
        <v>46</v>
      </c>
      <c r="ODI47" s="8" t="s">
        <v>433</v>
      </c>
      <c r="ODJ47" s="32" t="s">
        <v>92</v>
      </c>
      <c r="ODK47" s="8" t="s">
        <v>132</v>
      </c>
      <c r="ODL47" s="22" t="s">
        <v>46</v>
      </c>
      <c r="ODM47" s="8" t="s">
        <v>433</v>
      </c>
      <c r="ODN47" s="32" t="s">
        <v>92</v>
      </c>
      <c r="ODO47" s="8" t="s">
        <v>132</v>
      </c>
      <c r="ODP47" s="22" t="s">
        <v>46</v>
      </c>
      <c r="ODQ47" s="8" t="s">
        <v>433</v>
      </c>
      <c r="ODR47" s="32" t="s">
        <v>92</v>
      </c>
      <c r="ODS47" s="8" t="s">
        <v>132</v>
      </c>
      <c r="ODT47" s="22" t="s">
        <v>46</v>
      </c>
      <c r="ODU47" s="8" t="s">
        <v>433</v>
      </c>
      <c r="ODV47" s="32" t="s">
        <v>92</v>
      </c>
      <c r="ODW47" s="8" t="s">
        <v>132</v>
      </c>
      <c r="ODX47" s="22" t="s">
        <v>46</v>
      </c>
      <c r="ODY47" s="8" t="s">
        <v>433</v>
      </c>
      <c r="ODZ47" s="32" t="s">
        <v>92</v>
      </c>
      <c r="OEA47" s="8" t="s">
        <v>132</v>
      </c>
      <c r="OEB47" s="22" t="s">
        <v>46</v>
      </c>
      <c r="OEC47" s="8" t="s">
        <v>433</v>
      </c>
      <c r="OED47" s="32" t="s">
        <v>92</v>
      </c>
      <c r="OEE47" s="8" t="s">
        <v>132</v>
      </c>
      <c r="OEF47" s="22" t="s">
        <v>46</v>
      </c>
      <c r="OEG47" s="8" t="s">
        <v>433</v>
      </c>
      <c r="OEH47" s="32" t="s">
        <v>92</v>
      </c>
      <c r="OEI47" s="8" t="s">
        <v>132</v>
      </c>
      <c r="OEJ47" s="22" t="s">
        <v>46</v>
      </c>
      <c r="OEK47" s="8" t="s">
        <v>433</v>
      </c>
      <c r="OEL47" s="32" t="s">
        <v>92</v>
      </c>
      <c r="OEM47" s="8" t="s">
        <v>132</v>
      </c>
      <c r="OEN47" s="22" t="s">
        <v>46</v>
      </c>
      <c r="OEO47" s="8" t="s">
        <v>433</v>
      </c>
      <c r="OEP47" s="32" t="s">
        <v>92</v>
      </c>
      <c r="OEQ47" s="8" t="s">
        <v>132</v>
      </c>
      <c r="OER47" s="22" t="s">
        <v>46</v>
      </c>
      <c r="OES47" s="8" t="s">
        <v>433</v>
      </c>
      <c r="OET47" s="32" t="s">
        <v>92</v>
      </c>
      <c r="OEU47" s="8" t="s">
        <v>132</v>
      </c>
      <c r="OEV47" s="22" t="s">
        <v>46</v>
      </c>
      <c r="OEW47" s="8" t="s">
        <v>433</v>
      </c>
      <c r="OEX47" s="32" t="s">
        <v>92</v>
      </c>
      <c r="OEY47" s="8" t="s">
        <v>132</v>
      </c>
      <c r="OEZ47" s="22" t="s">
        <v>46</v>
      </c>
      <c r="OFA47" s="8" t="s">
        <v>433</v>
      </c>
      <c r="OFB47" s="32" t="s">
        <v>92</v>
      </c>
      <c r="OFC47" s="8" t="s">
        <v>132</v>
      </c>
      <c r="OFD47" s="22" t="s">
        <v>46</v>
      </c>
      <c r="OFE47" s="8" t="s">
        <v>433</v>
      </c>
      <c r="OFF47" s="32" t="s">
        <v>92</v>
      </c>
      <c r="OFG47" s="8" t="s">
        <v>132</v>
      </c>
      <c r="OFH47" s="22" t="s">
        <v>46</v>
      </c>
      <c r="OFI47" s="8" t="s">
        <v>433</v>
      </c>
      <c r="OFJ47" s="32" t="s">
        <v>92</v>
      </c>
      <c r="OFK47" s="8" t="s">
        <v>132</v>
      </c>
      <c r="OFL47" s="22" t="s">
        <v>46</v>
      </c>
      <c r="OFM47" s="8" t="s">
        <v>433</v>
      </c>
      <c r="OFN47" s="32" t="s">
        <v>92</v>
      </c>
      <c r="OFO47" s="8" t="s">
        <v>132</v>
      </c>
      <c r="OFP47" s="22" t="s">
        <v>46</v>
      </c>
      <c r="OFQ47" s="8" t="s">
        <v>433</v>
      </c>
      <c r="OFR47" s="32" t="s">
        <v>92</v>
      </c>
      <c r="OFS47" s="8" t="s">
        <v>132</v>
      </c>
      <c r="OFT47" s="22" t="s">
        <v>46</v>
      </c>
      <c r="OFU47" s="8" t="s">
        <v>433</v>
      </c>
      <c r="OFV47" s="32" t="s">
        <v>92</v>
      </c>
      <c r="OFW47" s="8" t="s">
        <v>132</v>
      </c>
      <c r="OFX47" s="22" t="s">
        <v>46</v>
      </c>
      <c r="OFY47" s="8" t="s">
        <v>433</v>
      </c>
      <c r="OFZ47" s="32" t="s">
        <v>92</v>
      </c>
      <c r="OGA47" s="8" t="s">
        <v>132</v>
      </c>
      <c r="OGB47" s="22" t="s">
        <v>46</v>
      </c>
      <c r="OGC47" s="8" t="s">
        <v>433</v>
      </c>
      <c r="OGD47" s="32" t="s">
        <v>92</v>
      </c>
      <c r="OGE47" s="8" t="s">
        <v>132</v>
      </c>
      <c r="OGF47" s="22" t="s">
        <v>46</v>
      </c>
      <c r="OGG47" s="8" t="s">
        <v>433</v>
      </c>
      <c r="OGH47" s="32" t="s">
        <v>92</v>
      </c>
      <c r="OGI47" s="8" t="s">
        <v>132</v>
      </c>
      <c r="OGJ47" s="22" t="s">
        <v>46</v>
      </c>
      <c r="OGK47" s="8" t="s">
        <v>433</v>
      </c>
      <c r="OGL47" s="32" t="s">
        <v>92</v>
      </c>
      <c r="OGM47" s="8" t="s">
        <v>132</v>
      </c>
      <c r="OGN47" s="22" t="s">
        <v>46</v>
      </c>
      <c r="OGO47" s="8" t="s">
        <v>433</v>
      </c>
      <c r="OGP47" s="32" t="s">
        <v>92</v>
      </c>
      <c r="OGQ47" s="8" t="s">
        <v>132</v>
      </c>
      <c r="OGR47" s="22" t="s">
        <v>46</v>
      </c>
      <c r="OGS47" s="8" t="s">
        <v>433</v>
      </c>
      <c r="OGT47" s="32" t="s">
        <v>92</v>
      </c>
      <c r="OGU47" s="8" t="s">
        <v>132</v>
      </c>
      <c r="OGV47" s="22" t="s">
        <v>46</v>
      </c>
      <c r="OGW47" s="8" t="s">
        <v>433</v>
      </c>
      <c r="OGX47" s="32" t="s">
        <v>92</v>
      </c>
      <c r="OGY47" s="8" t="s">
        <v>132</v>
      </c>
      <c r="OGZ47" s="22" t="s">
        <v>46</v>
      </c>
      <c r="OHA47" s="8" t="s">
        <v>433</v>
      </c>
      <c r="OHB47" s="32" t="s">
        <v>92</v>
      </c>
      <c r="OHC47" s="8" t="s">
        <v>132</v>
      </c>
      <c r="OHD47" s="22" t="s">
        <v>46</v>
      </c>
      <c r="OHE47" s="8" t="s">
        <v>433</v>
      </c>
      <c r="OHF47" s="32" t="s">
        <v>92</v>
      </c>
      <c r="OHG47" s="8" t="s">
        <v>132</v>
      </c>
      <c r="OHH47" s="22" t="s">
        <v>46</v>
      </c>
      <c r="OHI47" s="8" t="s">
        <v>433</v>
      </c>
      <c r="OHJ47" s="32" t="s">
        <v>92</v>
      </c>
      <c r="OHK47" s="8" t="s">
        <v>132</v>
      </c>
      <c r="OHL47" s="22" t="s">
        <v>46</v>
      </c>
      <c r="OHM47" s="8" t="s">
        <v>433</v>
      </c>
      <c r="OHN47" s="32" t="s">
        <v>92</v>
      </c>
      <c r="OHO47" s="8" t="s">
        <v>132</v>
      </c>
      <c r="OHP47" s="22" t="s">
        <v>46</v>
      </c>
      <c r="OHQ47" s="8" t="s">
        <v>433</v>
      </c>
      <c r="OHR47" s="32" t="s">
        <v>92</v>
      </c>
      <c r="OHS47" s="8" t="s">
        <v>132</v>
      </c>
      <c r="OHT47" s="22" t="s">
        <v>46</v>
      </c>
      <c r="OHU47" s="8" t="s">
        <v>433</v>
      </c>
      <c r="OHV47" s="32" t="s">
        <v>92</v>
      </c>
      <c r="OHW47" s="8" t="s">
        <v>132</v>
      </c>
      <c r="OHX47" s="22" t="s">
        <v>46</v>
      </c>
      <c r="OHY47" s="8" t="s">
        <v>433</v>
      </c>
      <c r="OHZ47" s="32" t="s">
        <v>92</v>
      </c>
      <c r="OIA47" s="8" t="s">
        <v>132</v>
      </c>
      <c r="OIB47" s="22" t="s">
        <v>46</v>
      </c>
      <c r="OIC47" s="8" t="s">
        <v>433</v>
      </c>
      <c r="OID47" s="32" t="s">
        <v>92</v>
      </c>
      <c r="OIE47" s="8" t="s">
        <v>132</v>
      </c>
      <c r="OIF47" s="22" t="s">
        <v>46</v>
      </c>
      <c r="OIG47" s="8" t="s">
        <v>433</v>
      </c>
      <c r="OIH47" s="32" t="s">
        <v>92</v>
      </c>
      <c r="OII47" s="8" t="s">
        <v>132</v>
      </c>
      <c r="OIJ47" s="22" t="s">
        <v>46</v>
      </c>
      <c r="OIK47" s="8" t="s">
        <v>433</v>
      </c>
      <c r="OIL47" s="32" t="s">
        <v>92</v>
      </c>
      <c r="OIM47" s="8" t="s">
        <v>132</v>
      </c>
      <c r="OIN47" s="22" t="s">
        <v>46</v>
      </c>
      <c r="OIO47" s="8" t="s">
        <v>433</v>
      </c>
      <c r="OIP47" s="32" t="s">
        <v>92</v>
      </c>
      <c r="OIQ47" s="8" t="s">
        <v>132</v>
      </c>
      <c r="OIR47" s="22" t="s">
        <v>46</v>
      </c>
      <c r="OIS47" s="8" t="s">
        <v>433</v>
      </c>
      <c r="OIT47" s="32" t="s">
        <v>92</v>
      </c>
      <c r="OIU47" s="8" t="s">
        <v>132</v>
      </c>
      <c r="OIV47" s="22" t="s">
        <v>46</v>
      </c>
      <c r="OIW47" s="8" t="s">
        <v>433</v>
      </c>
      <c r="OIX47" s="32" t="s">
        <v>92</v>
      </c>
      <c r="OIY47" s="8" t="s">
        <v>132</v>
      </c>
      <c r="OIZ47" s="22" t="s">
        <v>46</v>
      </c>
      <c r="OJA47" s="8" t="s">
        <v>433</v>
      </c>
      <c r="OJB47" s="32" t="s">
        <v>92</v>
      </c>
      <c r="OJC47" s="8" t="s">
        <v>132</v>
      </c>
      <c r="OJD47" s="22" t="s">
        <v>46</v>
      </c>
      <c r="OJE47" s="8" t="s">
        <v>433</v>
      </c>
      <c r="OJF47" s="32" t="s">
        <v>92</v>
      </c>
      <c r="OJG47" s="8" t="s">
        <v>132</v>
      </c>
      <c r="OJH47" s="22" t="s">
        <v>46</v>
      </c>
      <c r="OJI47" s="8" t="s">
        <v>433</v>
      </c>
      <c r="OJJ47" s="32" t="s">
        <v>92</v>
      </c>
      <c r="OJK47" s="8" t="s">
        <v>132</v>
      </c>
      <c r="OJL47" s="22" t="s">
        <v>46</v>
      </c>
      <c r="OJM47" s="8" t="s">
        <v>433</v>
      </c>
      <c r="OJN47" s="32" t="s">
        <v>92</v>
      </c>
      <c r="OJO47" s="8" t="s">
        <v>132</v>
      </c>
      <c r="OJP47" s="22" t="s">
        <v>46</v>
      </c>
      <c r="OJQ47" s="8" t="s">
        <v>433</v>
      </c>
      <c r="OJR47" s="32" t="s">
        <v>92</v>
      </c>
      <c r="OJS47" s="8" t="s">
        <v>132</v>
      </c>
      <c r="OJT47" s="22" t="s">
        <v>46</v>
      </c>
      <c r="OJU47" s="8" t="s">
        <v>433</v>
      </c>
      <c r="OJV47" s="32" t="s">
        <v>92</v>
      </c>
      <c r="OJW47" s="8" t="s">
        <v>132</v>
      </c>
      <c r="OJX47" s="22" t="s">
        <v>46</v>
      </c>
      <c r="OJY47" s="8" t="s">
        <v>433</v>
      </c>
      <c r="OJZ47" s="32" t="s">
        <v>92</v>
      </c>
      <c r="OKA47" s="8" t="s">
        <v>132</v>
      </c>
      <c r="OKB47" s="22" t="s">
        <v>46</v>
      </c>
      <c r="OKC47" s="8" t="s">
        <v>433</v>
      </c>
      <c r="OKD47" s="32" t="s">
        <v>92</v>
      </c>
      <c r="OKE47" s="8" t="s">
        <v>132</v>
      </c>
      <c r="OKF47" s="22" t="s">
        <v>46</v>
      </c>
      <c r="OKG47" s="8" t="s">
        <v>433</v>
      </c>
      <c r="OKH47" s="32" t="s">
        <v>92</v>
      </c>
      <c r="OKI47" s="8" t="s">
        <v>132</v>
      </c>
      <c r="OKJ47" s="22" t="s">
        <v>46</v>
      </c>
      <c r="OKK47" s="8" t="s">
        <v>433</v>
      </c>
      <c r="OKL47" s="32" t="s">
        <v>92</v>
      </c>
      <c r="OKM47" s="8" t="s">
        <v>132</v>
      </c>
      <c r="OKN47" s="22" t="s">
        <v>46</v>
      </c>
      <c r="OKO47" s="8" t="s">
        <v>433</v>
      </c>
      <c r="OKP47" s="32" t="s">
        <v>92</v>
      </c>
      <c r="OKQ47" s="8" t="s">
        <v>132</v>
      </c>
      <c r="OKR47" s="22" t="s">
        <v>46</v>
      </c>
      <c r="OKS47" s="8" t="s">
        <v>433</v>
      </c>
      <c r="OKT47" s="32" t="s">
        <v>92</v>
      </c>
      <c r="OKU47" s="8" t="s">
        <v>132</v>
      </c>
      <c r="OKV47" s="22" t="s">
        <v>46</v>
      </c>
      <c r="OKW47" s="8" t="s">
        <v>433</v>
      </c>
      <c r="OKX47" s="32" t="s">
        <v>92</v>
      </c>
      <c r="OKY47" s="8" t="s">
        <v>132</v>
      </c>
      <c r="OKZ47" s="22" t="s">
        <v>46</v>
      </c>
      <c r="OLA47" s="8" t="s">
        <v>433</v>
      </c>
      <c r="OLB47" s="32" t="s">
        <v>92</v>
      </c>
      <c r="OLC47" s="8" t="s">
        <v>132</v>
      </c>
      <c r="OLD47" s="22" t="s">
        <v>46</v>
      </c>
      <c r="OLE47" s="8" t="s">
        <v>433</v>
      </c>
      <c r="OLF47" s="32" t="s">
        <v>92</v>
      </c>
      <c r="OLG47" s="8" t="s">
        <v>132</v>
      </c>
      <c r="OLH47" s="22" t="s">
        <v>46</v>
      </c>
      <c r="OLI47" s="8" t="s">
        <v>433</v>
      </c>
      <c r="OLJ47" s="32" t="s">
        <v>92</v>
      </c>
      <c r="OLK47" s="8" t="s">
        <v>132</v>
      </c>
      <c r="OLL47" s="22" t="s">
        <v>46</v>
      </c>
      <c r="OLM47" s="8" t="s">
        <v>433</v>
      </c>
      <c r="OLN47" s="32" t="s">
        <v>92</v>
      </c>
      <c r="OLO47" s="8" t="s">
        <v>132</v>
      </c>
      <c r="OLP47" s="22" t="s">
        <v>46</v>
      </c>
      <c r="OLQ47" s="8" t="s">
        <v>433</v>
      </c>
      <c r="OLR47" s="32" t="s">
        <v>92</v>
      </c>
      <c r="OLS47" s="8" t="s">
        <v>132</v>
      </c>
      <c r="OLT47" s="22" t="s">
        <v>46</v>
      </c>
      <c r="OLU47" s="8" t="s">
        <v>433</v>
      </c>
      <c r="OLV47" s="32" t="s">
        <v>92</v>
      </c>
      <c r="OLW47" s="8" t="s">
        <v>132</v>
      </c>
      <c r="OLX47" s="22" t="s">
        <v>46</v>
      </c>
      <c r="OLY47" s="8" t="s">
        <v>433</v>
      </c>
      <c r="OLZ47" s="32" t="s">
        <v>92</v>
      </c>
      <c r="OMA47" s="8" t="s">
        <v>132</v>
      </c>
      <c r="OMB47" s="22" t="s">
        <v>46</v>
      </c>
      <c r="OMC47" s="8" t="s">
        <v>433</v>
      </c>
      <c r="OMD47" s="32" t="s">
        <v>92</v>
      </c>
      <c r="OME47" s="8" t="s">
        <v>132</v>
      </c>
      <c r="OMF47" s="22" t="s">
        <v>46</v>
      </c>
      <c r="OMG47" s="8" t="s">
        <v>433</v>
      </c>
      <c r="OMH47" s="32" t="s">
        <v>92</v>
      </c>
      <c r="OMI47" s="8" t="s">
        <v>132</v>
      </c>
      <c r="OMJ47" s="22" t="s">
        <v>46</v>
      </c>
      <c r="OMK47" s="8" t="s">
        <v>433</v>
      </c>
      <c r="OML47" s="32" t="s">
        <v>92</v>
      </c>
      <c r="OMM47" s="8" t="s">
        <v>132</v>
      </c>
      <c r="OMN47" s="22" t="s">
        <v>46</v>
      </c>
      <c r="OMO47" s="8" t="s">
        <v>433</v>
      </c>
      <c r="OMP47" s="32" t="s">
        <v>92</v>
      </c>
      <c r="OMQ47" s="8" t="s">
        <v>132</v>
      </c>
      <c r="OMR47" s="22" t="s">
        <v>46</v>
      </c>
      <c r="OMS47" s="8" t="s">
        <v>433</v>
      </c>
      <c r="OMT47" s="32" t="s">
        <v>92</v>
      </c>
      <c r="OMU47" s="8" t="s">
        <v>132</v>
      </c>
      <c r="OMV47" s="22" t="s">
        <v>46</v>
      </c>
      <c r="OMW47" s="8" t="s">
        <v>433</v>
      </c>
      <c r="OMX47" s="32" t="s">
        <v>92</v>
      </c>
      <c r="OMY47" s="8" t="s">
        <v>132</v>
      </c>
      <c r="OMZ47" s="22" t="s">
        <v>46</v>
      </c>
      <c r="ONA47" s="8" t="s">
        <v>433</v>
      </c>
      <c r="ONB47" s="32" t="s">
        <v>92</v>
      </c>
      <c r="ONC47" s="8" t="s">
        <v>132</v>
      </c>
      <c r="OND47" s="22" t="s">
        <v>46</v>
      </c>
      <c r="ONE47" s="8" t="s">
        <v>433</v>
      </c>
      <c r="ONF47" s="32" t="s">
        <v>92</v>
      </c>
      <c r="ONG47" s="8" t="s">
        <v>132</v>
      </c>
      <c r="ONH47" s="22" t="s">
        <v>46</v>
      </c>
      <c r="ONI47" s="8" t="s">
        <v>433</v>
      </c>
      <c r="ONJ47" s="32" t="s">
        <v>92</v>
      </c>
      <c r="ONK47" s="8" t="s">
        <v>132</v>
      </c>
      <c r="ONL47" s="22" t="s">
        <v>46</v>
      </c>
      <c r="ONM47" s="8" t="s">
        <v>433</v>
      </c>
      <c r="ONN47" s="32" t="s">
        <v>92</v>
      </c>
      <c r="ONO47" s="8" t="s">
        <v>132</v>
      </c>
      <c r="ONP47" s="22" t="s">
        <v>46</v>
      </c>
      <c r="ONQ47" s="8" t="s">
        <v>433</v>
      </c>
      <c r="ONR47" s="32" t="s">
        <v>92</v>
      </c>
      <c r="ONS47" s="8" t="s">
        <v>132</v>
      </c>
      <c r="ONT47" s="22" t="s">
        <v>46</v>
      </c>
      <c r="ONU47" s="8" t="s">
        <v>433</v>
      </c>
      <c r="ONV47" s="32" t="s">
        <v>92</v>
      </c>
      <c r="ONW47" s="8" t="s">
        <v>132</v>
      </c>
      <c r="ONX47" s="22" t="s">
        <v>46</v>
      </c>
      <c r="ONY47" s="8" t="s">
        <v>433</v>
      </c>
      <c r="ONZ47" s="32" t="s">
        <v>92</v>
      </c>
      <c r="OOA47" s="8" t="s">
        <v>132</v>
      </c>
      <c r="OOB47" s="22" t="s">
        <v>46</v>
      </c>
      <c r="OOC47" s="8" t="s">
        <v>433</v>
      </c>
      <c r="OOD47" s="32" t="s">
        <v>92</v>
      </c>
      <c r="OOE47" s="8" t="s">
        <v>132</v>
      </c>
      <c r="OOF47" s="22" t="s">
        <v>46</v>
      </c>
      <c r="OOG47" s="8" t="s">
        <v>433</v>
      </c>
      <c r="OOH47" s="32" t="s">
        <v>92</v>
      </c>
      <c r="OOI47" s="8" t="s">
        <v>132</v>
      </c>
      <c r="OOJ47" s="22" t="s">
        <v>46</v>
      </c>
      <c r="OOK47" s="8" t="s">
        <v>433</v>
      </c>
      <c r="OOL47" s="32" t="s">
        <v>92</v>
      </c>
      <c r="OOM47" s="8" t="s">
        <v>132</v>
      </c>
      <c r="OON47" s="22" t="s">
        <v>46</v>
      </c>
      <c r="OOO47" s="8" t="s">
        <v>433</v>
      </c>
      <c r="OOP47" s="32" t="s">
        <v>92</v>
      </c>
      <c r="OOQ47" s="8" t="s">
        <v>132</v>
      </c>
      <c r="OOR47" s="22" t="s">
        <v>46</v>
      </c>
      <c r="OOS47" s="8" t="s">
        <v>433</v>
      </c>
      <c r="OOT47" s="32" t="s">
        <v>92</v>
      </c>
      <c r="OOU47" s="8" t="s">
        <v>132</v>
      </c>
      <c r="OOV47" s="22" t="s">
        <v>46</v>
      </c>
      <c r="OOW47" s="8" t="s">
        <v>433</v>
      </c>
      <c r="OOX47" s="32" t="s">
        <v>92</v>
      </c>
      <c r="OOY47" s="8" t="s">
        <v>132</v>
      </c>
      <c r="OOZ47" s="22" t="s">
        <v>46</v>
      </c>
      <c r="OPA47" s="8" t="s">
        <v>433</v>
      </c>
      <c r="OPB47" s="32" t="s">
        <v>92</v>
      </c>
      <c r="OPC47" s="8" t="s">
        <v>132</v>
      </c>
      <c r="OPD47" s="22" t="s">
        <v>46</v>
      </c>
      <c r="OPE47" s="8" t="s">
        <v>433</v>
      </c>
      <c r="OPF47" s="32" t="s">
        <v>92</v>
      </c>
      <c r="OPG47" s="8" t="s">
        <v>132</v>
      </c>
      <c r="OPH47" s="22" t="s">
        <v>46</v>
      </c>
      <c r="OPI47" s="8" t="s">
        <v>433</v>
      </c>
      <c r="OPJ47" s="32" t="s">
        <v>92</v>
      </c>
      <c r="OPK47" s="8" t="s">
        <v>132</v>
      </c>
      <c r="OPL47" s="22" t="s">
        <v>46</v>
      </c>
      <c r="OPM47" s="8" t="s">
        <v>433</v>
      </c>
      <c r="OPN47" s="32" t="s">
        <v>92</v>
      </c>
      <c r="OPO47" s="8" t="s">
        <v>132</v>
      </c>
      <c r="OPP47" s="22" t="s">
        <v>46</v>
      </c>
      <c r="OPQ47" s="8" t="s">
        <v>433</v>
      </c>
      <c r="OPR47" s="32" t="s">
        <v>92</v>
      </c>
      <c r="OPS47" s="8" t="s">
        <v>132</v>
      </c>
      <c r="OPT47" s="22" t="s">
        <v>46</v>
      </c>
      <c r="OPU47" s="8" t="s">
        <v>433</v>
      </c>
      <c r="OPV47" s="32" t="s">
        <v>92</v>
      </c>
      <c r="OPW47" s="8" t="s">
        <v>132</v>
      </c>
      <c r="OPX47" s="22" t="s">
        <v>46</v>
      </c>
      <c r="OPY47" s="8" t="s">
        <v>433</v>
      </c>
      <c r="OPZ47" s="32" t="s">
        <v>92</v>
      </c>
      <c r="OQA47" s="8" t="s">
        <v>132</v>
      </c>
      <c r="OQB47" s="22" t="s">
        <v>46</v>
      </c>
      <c r="OQC47" s="8" t="s">
        <v>433</v>
      </c>
      <c r="OQD47" s="32" t="s">
        <v>92</v>
      </c>
      <c r="OQE47" s="8" t="s">
        <v>132</v>
      </c>
      <c r="OQF47" s="22" t="s">
        <v>46</v>
      </c>
      <c r="OQG47" s="8" t="s">
        <v>433</v>
      </c>
      <c r="OQH47" s="32" t="s">
        <v>92</v>
      </c>
      <c r="OQI47" s="8" t="s">
        <v>132</v>
      </c>
      <c r="OQJ47" s="22" t="s">
        <v>46</v>
      </c>
      <c r="OQK47" s="8" t="s">
        <v>433</v>
      </c>
      <c r="OQL47" s="32" t="s">
        <v>92</v>
      </c>
      <c r="OQM47" s="8" t="s">
        <v>132</v>
      </c>
      <c r="OQN47" s="22" t="s">
        <v>46</v>
      </c>
      <c r="OQO47" s="8" t="s">
        <v>433</v>
      </c>
      <c r="OQP47" s="32" t="s">
        <v>92</v>
      </c>
      <c r="OQQ47" s="8" t="s">
        <v>132</v>
      </c>
      <c r="OQR47" s="22" t="s">
        <v>46</v>
      </c>
      <c r="OQS47" s="8" t="s">
        <v>433</v>
      </c>
      <c r="OQT47" s="32" t="s">
        <v>92</v>
      </c>
      <c r="OQU47" s="8" t="s">
        <v>132</v>
      </c>
      <c r="OQV47" s="22" t="s">
        <v>46</v>
      </c>
      <c r="OQW47" s="8" t="s">
        <v>433</v>
      </c>
      <c r="OQX47" s="32" t="s">
        <v>92</v>
      </c>
      <c r="OQY47" s="8" t="s">
        <v>132</v>
      </c>
      <c r="OQZ47" s="22" t="s">
        <v>46</v>
      </c>
      <c r="ORA47" s="8" t="s">
        <v>433</v>
      </c>
      <c r="ORB47" s="32" t="s">
        <v>92</v>
      </c>
      <c r="ORC47" s="8" t="s">
        <v>132</v>
      </c>
      <c r="ORD47" s="22" t="s">
        <v>46</v>
      </c>
      <c r="ORE47" s="8" t="s">
        <v>433</v>
      </c>
      <c r="ORF47" s="32" t="s">
        <v>92</v>
      </c>
      <c r="ORG47" s="8" t="s">
        <v>132</v>
      </c>
      <c r="ORH47" s="22" t="s">
        <v>46</v>
      </c>
      <c r="ORI47" s="8" t="s">
        <v>433</v>
      </c>
      <c r="ORJ47" s="32" t="s">
        <v>92</v>
      </c>
      <c r="ORK47" s="8" t="s">
        <v>132</v>
      </c>
      <c r="ORL47" s="22" t="s">
        <v>46</v>
      </c>
      <c r="ORM47" s="8" t="s">
        <v>433</v>
      </c>
      <c r="ORN47" s="32" t="s">
        <v>92</v>
      </c>
      <c r="ORO47" s="8" t="s">
        <v>132</v>
      </c>
      <c r="ORP47" s="22" t="s">
        <v>46</v>
      </c>
      <c r="ORQ47" s="8" t="s">
        <v>433</v>
      </c>
      <c r="ORR47" s="32" t="s">
        <v>92</v>
      </c>
      <c r="ORS47" s="8" t="s">
        <v>132</v>
      </c>
      <c r="ORT47" s="22" t="s">
        <v>46</v>
      </c>
      <c r="ORU47" s="8" t="s">
        <v>433</v>
      </c>
      <c r="ORV47" s="32" t="s">
        <v>92</v>
      </c>
      <c r="ORW47" s="8" t="s">
        <v>132</v>
      </c>
      <c r="ORX47" s="22" t="s">
        <v>46</v>
      </c>
      <c r="ORY47" s="8" t="s">
        <v>433</v>
      </c>
      <c r="ORZ47" s="32" t="s">
        <v>92</v>
      </c>
      <c r="OSA47" s="8" t="s">
        <v>132</v>
      </c>
      <c r="OSB47" s="22" t="s">
        <v>46</v>
      </c>
      <c r="OSC47" s="8" t="s">
        <v>433</v>
      </c>
      <c r="OSD47" s="32" t="s">
        <v>92</v>
      </c>
      <c r="OSE47" s="8" t="s">
        <v>132</v>
      </c>
      <c r="OSF47" s="22" t="s">
        <v>46</v>
      </c>
      <c r="OSG47" s="8" t="s">
        <v>433</v>
      </c>
      <c r="OSH47" s="32" t="s">
        <v>92</v>
      </c>
      <c r="OSI47" s="8" t="s">
        <v>132</v>
      </c>
      <c r="OSJ47" s="22" t="s">
        <v>46</v>
      </c>
      <c r="OSK47" s="8" t="s">
        <v>433</v>
      </c>
      <c r="OSL47" s="32" t="s">
        <v>92</v>
      </c>
      <c r="OSM47" s="8" t="s">
        <v>132</v>
      </c>
      <c r="OSN47" s="22" t="s">
        <v>46</v>
      </c>
      <c r="OSO47" s="8" t="s">
        <v>433</v>
      </c>
      <c r="OSP47" s="32" t="s">
        <v>92</v>
      </c>
      <c r="OSQ47" s="8" t="s">
        <v>132</v>
      </c>
      <c r="OSR47" s="22" t="s">
        <v>46</v>
      </c>
      <c r="OSS47" s="8" t="s">
        <v>433</v>
      </c>
      <c r="OST47" s="32" t="s">
        <v>92</v>
      </c>
      <c r="OSU47" s="8" t="s">
        <v>132</v>
      </c>
      <c r="OSV47" s="22" t="s">
        <v>46</v>
      </c>
      <c r="OSW47" s="8" t="s">
        <v>433</v>
      </c>
      <c r="OSX47" s="32" t="s">
        <v>92</v>
      </c>
      <c r="OSY47" s="8" t="s">
        <v>132</v>
      </c>
      <c r="OSZ47" s="22" t="s">
        <v>46</v>
      </c>
      <c r="OTA47" s="8" t="s">
        <v>433</v>
      </c>
      <c r="OTB47" s="32" t="s">
        <v>92</v>
      </c>
      <c r="OTC47" s="8" t="s">
        <v>132</v>
      </c>
      <c r="OTD47" s="22" t="s">
        <v>46</v>
      </c>
      <c r="OTE47" s="8" t="s">
        <v>433</v>
      </c>
      <c r="OTF47" s="32" t="s">
        <v>92</v>
      </c>
      <c r="OTG47" s="8" t="s">
        <v>132</v>
      </c>
      <c r="OTH47" s="22" t="s">
        <v>46</v>
      </c>
      <c r="OTI47" s="8" t="s">
        <v>433</v>
      </c>
      <c r="OTJ47" s="32" t="s">
        <v>92</v>
      </c>
      <c r="OTK47" s="8" t="s">
        <v>132</v>
      </c>
      <c r="OTL47" s="22" t="s">
        <v>46</v>
      </c>
      <c r="OTM47" s="8" t="s">
        <v>433</v>
      </c>
      <c r="OTN47" s="32" t="s">
        <v>92</v>
      </c>
      <c r="OTO47" s="8" t="s">
        <v>132</v>
      </c>
      <c r="OTP47" s="22" t="s">
        <v>46</v>
      </c>
      <c r="OTQ47" s="8" t="s">
        <v>433</v>
      </c>
      <c r="OTR47" s="32" t="s">
        <v>92</v>
      </c>
      <c r="OTS47" s="8" t="s">
        <v>132</v>
      </c>
      <c r="OTT47" s="22" t="s">
        <v>46</v>
      </c>
      <c r="OTU47" s="8" t="s">
        <v>433</v>
      </c>
      <c r="OTV47" s="32" t="s">
        <v>92</v>
      </c>
      <c r="OTW47" s="8" t="s">
        <v>132</v>
      </c>
      <c r="OTX47" s="22" t="s">
        <v>46</v>
      </c>
      <c r="OTY47" s="8" t="s">
        <v>433</v>
      </c>
      <c r="OTZ47" s="32" t="s">
        <v>92</v>
      </c>
      <c r="OUA47" s="8" t="s">
        <v>132</v>
      </c>
      <c r="OUB47" s="22" t="s">
        <v>46</v>
      </c>
      <c r="OUC47" s="8" t="s">
        <v>433</v>
      </c>
      <c r="OUD47" s="32" t="s">
        <v>92</v>
      </c>
      <c r="OUE47" s="8" t="s">
        <v>132</v>
      </c>
      <c r="OUF47" s="22" t="s">
        <v>46</v>
      </c>
      <c r="OUG47" s="8" t="s">
        <v>433</v>
      </c>
      <c r="OUH47" s="32" t="s">
        <v>92</v>
      </c>
      <c r="OUI47" s="8" t="s">
        <v>132</v>
      </c>
      <c r="OUJ47" s="22" t="s">
        <v>46</v>
      </c>
      <c r="OUK47" s="8" t="s">
        <v>433</v>
      </c>
      <c r="OUL47" s="32" t="s">
        <v>92</v>
      </c>
      <c r="OUM47" s="8" t="s">
        <v>132</v>
      </c>
      <c r="OUN47" s="22" t="s">
        <v>46</v>
      </c>
      <c r="OUO47" s="8" t="s">
        <v>433</v>
      </c>
      <c r="OUP47" s="32" t="s">
        <v>92</v>
      </c>
      <c r="OUQ47" s="8" t="s">
        <v>132</v>
      </c>
      <c r="OUR47" s="22" t="s">
        <v>46</v>
      </c>
      <c r="OUS47" s="8" t="s">
        <v>433</v>
      </c>
      <c r="OUT47" s="32" t="s">
        <v>92</v>
      </c>
      <c r="OUU47" s="8" t="s">
        <v>132</v>
      </c>
      <c r="OUV47" s="22" t="s">
        <v>46</v>
      </c>
      <c r="OUW47" s="8" t="s">
        <v>433</v>
      </c>
      <c r="OUX47" s="32" t="s">
        <v>92</v>
      </c>
      <c r="OUY47" s="8" t="s">
        <v>132</v>
      </c>
      <c r="OUZ47" s="22" t="s">
        <v>46</v>
      </c>
      <c r="OVA47" s="8" t="s">
        <v>433</v>
      </c>
      <c r="OVB47" s="32" t="s">
        <v>92</v>
      </c>
      <c r="OVC47" s="8" t="s">
        <v>132</v>
      </c>
      <c r="OVD47" s="22" t="s">
        <v>46</v>
      </c>
      <c r="OVE47" s="8" t="s">
        <v>433</v>
      </c>
      <c r="OVF47" s="32" t="s">
        <v>92</v>
      </c>
      <c r="OVG47" s="8" t="s">
        <v>132</v>
      </c>
      <c r="OVH47" s="22" t="s">
        <v>46</v>
      </c>
      <c r="OVI47" s="8" t="s">
        <v>433</v>
      </c>
      <c r="OVJ47" s="32" t="s">
        <v>92</v>
      </c>
      <c r="OVK47" s="8" t="s">
        <v>132</v>
      </c>
      <c r="OVL47" s="22" t="s">
        <v>46</v>
      </c>
      <c r="OVM47" s="8" t="s">
        <v>433</v>
      </c>
      <c r="OVN47" s="32" t="s">
        <v>92</v>
      </c>
      <c r="OVO47" s="8" t="s">
        <v>132</v>
      </c>
      <c r="OVP47" s="22" t="s">
        <v>46</v>
      </c>
      <c r="OVQ47" s="8" t="s">
        <v>433</v>
      </c>
      <c r="OVR47" s="32" t="s">
        <v>92</v>
      </c>
      <c r="OVS47" s="8" t="s">
        <v>132</v>
      </c>
      <c r="OVT47" s="22" t="s">
        <v>46</v>
      </c>
      <c r="OVU47" s="8" t="s">
        <v>433</v>
      </c>
      <c r="OVV47" s="32" t="s">
        <v>92</v>
      </c>
      <c r="OVW47" s="8" t="s">
        <v>132</v>
      </c>
      <c r="OVX47" s="22" t="s">
        <v>46</v>
      </c>
      <c r="OVY47" s="8" t="s">
        <v>433</v>
      </c>
      <c r="OVZ47" s="32" t="s">
        <v>92</v>
      </c>
      <c r="OWA47" s="8" t="s">
        <v>132</v>
      </c>
      <c r="OWB47" s="22" t="s">
        <v>46</v>
      </c>
      <c r="OWC47" s="8" t="s">
        <v>433</v>
      </c>
      <c r="OWD47" s="32" t="s">
        <v>92</v>
      </c>
      <c r="OWE47" s="8" t="s">
        <v>132</v>
      </c>
      <c r="OWF47" s="22" t="s">
        <v>46</v>
      </c>
      <c r="OWG47" s="8" t="s">
        <v>433</v>
      </c>
      <c r="OWH47" s="32" t="s">
        <v>92</v>
      </c>
      <c r="OWI47" s="8" t="s">
        <v>132</v>
      </c>
      <c r="OWJ47" s="22" t="s">
        <v>46</v>
      </c>
      <c r="OWK47" s="8" t="s">
        <v>433</v>
      </c>
      <c r="OWL47" s="32" t="s">
        <v>92</v>
      </c>
      <c r="OWM47" s="8" t="s">
        <v>132</v>
      </c>
      <c r="OWN47" s="22" t="s">
        <v>46</v>
      </c>
      <c r="OWO47" s="8" t="s">
        <v>433</v>
      </c>
      <c r="OWP47" s="32" t="s">
        <v>92</v>
      </c>
      <c r="OWQ47" s="8" t="s">
        <v>132</v>
      </c>
      <c r="OWR47" s="22" t="s">
        <v>46</v>
      </c>
      <c r="OWS47" s="8" t="s">
        <v>433</v>
      </c>
      <c r="OWT47" s="32" t="s">
        <v>92</v>
      </c>
      <c r="OWU47" s="8" t="s">
        <v>132</v>
      </c>
      <c r="OWV47" s="22" t="s">
        <v>46</v>
      </c>
      <c r="OWW47" s="8" t="s">
        <v>433</v>
      </c>
      <c r="OWX47" s="32" t="s">
        <v>92</v>
      </c>
      <c r="OWY47" s="8" t="s">
        <v>132</v>
      </c>
      <c r="OWZ47" s="22" t="s">
        <v>46</v>
      </c>
      <c r="OXA47" s="8" t="s">
        <v>433</v>
      </c>
      <c r="OXB47" s="32" t="s">
        <v>92</v>
      </c>
      <c r="OXC47" s="8" t="s">
        <v>132</v>
      </c>
      <c r="OXD47" s="22" t="s">
        <v>46</v>
      </c>
      <c r="OXE47" s="8" t="s">
        <v>433</v>
      </c>
      <c r="OXF47" s="32" t="s">
        <v>92</v>
      </c>
      <c r="OXG47" s="8" t="s">
        <v>132</v>
      </c>
      <c r="OXH47" s="22" t="s">
        <v>46</v>
      </c>
      <c r="OXI47" s="8" t="s">
        <v>433</v>
      </c>
      <c r="OXJ47" s="32" t="s">
        <v>92</v>
      </c>
      <c r="OXK47" s="8" t="s">
        <v>132</v>
      </c>
      <c r="OXL47" s="22" t="s">
        <v>46</v>
      </c>
      <c r="OXM47" s="8" t="s">
        <v>433</v>
      </c>
      <c r="OXN47" s="32" t="s">
        <v>92</v>
      </c>
      <c r="OXO47" s="8" t="s">
        <v>132</v>
      </c>
      <c r="OXP47" s="22" t="s">
        <v>46</v>
      </c>
      <c r="OXQ47" s="8" t="s">
        <v>433</v>
      </c>
      <c r="OXR47" s="32" t="s">
        <v>92</v>
      </c>
      <c r="OXS47" s="8" t="s">
        <v>132</v>
      </c>
      <c r="OXT47" s="22" t="s">
        <v>46</v>
      </c>
      <c r="OXU47" s="8" t="s">
        <v>433</v>
      </c>
      <c r="OXV47" s="32" t="s">
        <v>92</v>
      </c>
      <c r="OXW47" s="8" t="s">
        <v>132</v>
      </c>
      <c r="OXX47" s="22" t="s">
        <v>46</v>
      </c>
      <c r="OXY47" s="8" t="s">
        <v>433</v>
      </c>
      <c r="OXZ47" s="32" t="s">
        <v>92</v>
      </c>
      <c r="OYA47" s="8" t="s">
        <v>132</v>
      </c>
      <c r="OYB47" s="22" t="s">
        <v>46</v>
      </c>
      <c r="OYC47" s="8" t="s">
        <v>433</v>
      </c>
      <c r="OYD47" s="32" t="s">
        <v>92</v>
      </c>
      <c r="OYE47" s="8" t="s">
        <v>132</v>
      </c>
      <c r="OYF47" s="22" t="s">
        <v>46</v>
      </c>
      <c r="OYG47" s="8" t="s">
        <v>433</v>
      </c>
      <c r="OYH47" s="32" t="s">
        <v>92</v>
      </c>
      <c r="OYI47" s="8" t="s">
        <v>132</v>
      </c>
      <c r="OYJ47" s="22" t="s">
        <v>46</v>
      </c>
      <c r="OYK47" s="8" t="s">
        <v>433</v>
      </c>
      <c r="OYL47" s="32" t="s">
        <v>92</v>
      </c>
      <c r="OYM47" s="8" t="s">
        <v>132</v>
      </c>
      <c r="OYN47" s="22" t="s">
        <v>46</v>
      </c>
      <c r="OYO47" s="8" t="s">
        <v>433</v>
      </c>
      <c r="OYP47" s="32" t="s">
        <v>92</v>
      </c>
      <c r="OYQ47" s="8" t="s">
        <v>132</v>
      </c>
      <c r="OYR47" s="22" t="s">
        <v>46</v>
      </c>
      <c r="OYS47" s="8" t="s">
        <v>433</v>
      </c>
      <c r="OYT47" s="32" t="s">
        <v>92</v>
      </c>
      <c r="OYU47" s="8" t="s">
        <v>132</v>
      </c>
      <c r="OYV47" s="22" t="s">
        <v>46</v>
      </c>
      <c r="OYW47" s="8" t="s">
        <v>433</v>
      </c>
      <c r="OYX47" s="32" t="s">
        <v>92</v>
      </c>
      <c r="OYY47" s="8" t="s">
        <v>132</v>
      </c>
      <c r="OYZ47" s="22" t="s">
        <v>46</v>
      </c>
      <c r="OZA47" s="8" t="s">
        <v>433</v>
      </c>
      <c r="OZB47" s="32" t="s">
        <v>92</v>
      </c>
      <c r="OZC47" s="8" t="s">
        <v>132</v>
      </c>
      <c r="OZD47" s="22" t="s">
        <v>46</v>
      </c>
      <c r="OZE47" s="8" t="s">
        <v>433</v>
      </c>
      <c r="OZF47" s="32" t="s">
        <v>92</v>
      </c>
      <c r="OZG47" s="8" t="s">
        <v>132</v>
      </c>
      <c r="OZH47" s="22" t="s">
        <v>46</v>
      </c>
      <c r="OZI47" s="8" t="s">
        <v>433</v>
      </c>
      <c r="OZJ47" s="32" t="s">
        <v>92</v>
      </c>
      <c r="OZK47" s="8" t="s">
        <v>132</v>
      </c>
      <c r="OZL47" s="22" t="s">
        <v>46</v>
      </c>
      <c r="OZM47" s="8" t="s">
        <v>433</v>
      </c>
      <c r="OZN47" s="32" t="s">
        <v>92</v>
      </c>
      <c r="OZO47" s="8" t="s">
        <v>132</v>
      </c>
      <c r="OZP47" s="22" t="s">
        <v>46</v>
      </c>
      <c r="OZQ47" s="8" t="s">
        <v>433</v>
      </c>
      <c r="OZR47" s="32" t="s">
        <v>92</v>
      </c>
      <c r="OZS47" s="8" t="s">
        <v>132</v>
      </c>
      <c r="OZT47" s="22" t="s">
        <v>46</v>
      </c>
      <c r="OZU47" s="8" t="s">
        <v>433</v>
      </c>
      <c r="OZV47" s="32" t="s">
        <v>92</v>
      </c>
      <c r="OZW47" s="8" t="s">
        <v>132</v>
      </c>
      <c r="OZX47" s="22" t="s">
        <v>46</v>
      </c>
      <c r="OZY47" s="8" t="s">
        <v>433</v>
      </c>
      <c r="OZZ47" s="32" t="s">
        <v>92</v>
      </c>
      <c r="PAA47" s="8" t="s">
        <v>132</v>
      </c>
      <c r="PAB47" s="22" t="s">
        <v>46</v>
      </c>
      <c r="PAC47" s="8" t="s">
        <v>433</v>
      </c>
      <c r="PAD47" s="32" t="s">
        <v>92</v>
      </c>
      <c r="PAE47" s="8" t="s">
        <v>132</v>
      </c>
      <c r="PAF47" s="22" t="s">
        <v>46</v>
      </c>
      <c r="PAG47" s="8" t="s">
        <v>433</v>
      </c>
      <c r="PAH47" s="32" t="s">
        <v>92</v>
      </c>
      <c r="PAI47" s="8" t="s">
        <v>132</v>
      </c>
      <c r="PAJ47" s="22" t="s">
        <v>46</v>
      </c>
      <c r="PAK47" s="8" t="s">
        <v>433</v>
      </c>
      <c r="PAL47" s="32" t="s">
        <v>92</v>
      </c>
      <c r="PAM47" s="8" t="s">
        <v>132</v>
      </c>
      <c r="PAN47" s="22" t="s">
        <v>46</v>
      </c>
      <c r="PAO47" s="8" t="s">
        <v>433</v>
      </c>
      <c r="PAP47" s="32" t="s">
        <v>92</v>
      </c>
      <c r="PAQ47" s="8" t="s">
        <v>132</v>
      </c>
      <c r="PAR47" s="22" t="s">
        <v>46</v>
      </c>
      <c r="PAS47" s="8" t="s">
        <v>433</v>
      </c>
      <c r="PAT47" s="32" t="s">
        <v>92</v>
      </c>
      <c r="PAU47" s="8" t="s">
        <v>132</v>
      </c>
      <c r="PAV47" s="22" t="s">
        <v>46</v>
      </c>
      <c r="PAW47" s="8" t="s">
        <v>433</v>
      </c>
      <c r="PAX47" s="32" t="s">
        <v>92</v>
      </c>
      <c r="PAY47" s="8" t="s">
        <v>132</v>
      </c>
      <c r="PAZ47" s="22" t="s">
        <v>46</v>
      </c>
      <c r="PBA47" s="8" t="s">
        <v>433</v>
      </c>
      <c r="PBB47" s="32" t="s">
        <v>92</v>
      </c>
      <c r="PBC47" s="8" t="s">
        <v>132</v>
      </c>
      <c r="PBD47" s="22" t="s">
        <v>46</v>
      </c>
      <c r="PBE47" s="8" t="s">
        <v>433</v>
      </c>
      <c r="PBF47" s="32" t="s">
        <v>92</v>
      </c>
      <c r="PBG47" s="8" t="s">
        <v>132</v>
      </c>
      <c r="PBH47" s="22" t="s">
        <v>46</v>
      </c>
      <c r="PBI47" s="8" t="s">
        <v>433</v>
      </c>
      <c r="PBJ47" s="32" t="s">
        <v>92</v>
      </c>
      <c r="PBK47" s="8" t="s">
        <v>132</v>
      </c>
      <c r="PBL47" s="22" t="s">
        <v>46</v>
      </c>
      <c r="PBM47" s="8" t="s">
        <v>433</v>
      </c>
      <c r="PBN47" s="32" t="s">
        <v>92</v>
      </c>
      <c r="PBO47" s="8" t="s">
        <v>132</v>
      </c>
      <c r="PBP47" s="22" t="s">
        <v>46</v>
      </c>
      <c r="PBQ47" s="8" t="s">
        <v>433</v>
      </c>
      <c r="PBR47" s="32" t="s">
        <v>92</v>
      </c>
      <c r="PBS47" s="8" t="s">
        <v>132</v>
      </c>
      <c r="PBT47" s="22" t="s">
        <v>46</v>
      </c>
      <c r="PBU47" s="8" t="s">
        <v>433</v>
      </c>
      <c r="PBV47" s="32" t="s">
        <v>92</v>
      </c>
      <c r="PBW47" s="8" t="s">
        <v>132</v>
      </c>
      <c r="PBX47" s="22" t="s">
        <v>46</v>
      </c>
      <c r="PBY47" s="8" t="s">
        <v>433</v>
      </c>
      <c r="PBZ47" s="32" t="s">
        <v>92</v>
      </c>
      <c r="PCA47" s="8" t="s">
        <v>132</v>
      </c>
      <c r="PCB47" s="22" t="s">
        <v>46</v>
      </c>
      <c r="PCC47" s="8" t="s">
        <v>433</v>
      </c>
      <c r="PCD47" s="32" t="s">
        <v>92</v>
      </c>
      <c r="PCE47" s="8" t="s">
        <v>132</v>
      </c>
      <c r="PCF47" s="22" t="s">
        <v>46</v>
      </c>
      <c r="PCG47" s="8" t="s">
        <v>433</v>
      </c>
      <c r="PCH47" s="32" t="s">
        <v>92</v>
      </c>
      <c r="PCI47" s="8" t="s">
        <v>132</v>
      </c>
      <c r="PCJ47" s="22" t="s">
        <v>46</v>
      </c>
      <c r="PCK47" s="8" t="s">
        <v>433</v>
      </c>
      <c r="PCL47" s="32" t="s">
        <v>92</v>
      </c>
      <c r="PCM47" s="8" t="s">
        <v>132</v>
      </c>
      <c r="PCN47" s="22" t="s">
        <v>46</v>
      </c>
      <c r="PCO47" s="8" t="s">
        <v>433</v>
      </c>
      <c r="PCP47" s="32" t="s">
        <v>92</v>
      </c>
      <c r="PCQ47" s="8" t="s">
        <v>132</v>
      </c>
      <c r="PCR47" s="22" t="s">
        <v>46</v>
      </c>
      <c r="PCS47" s="8" t="s">
        <v>433</v>
      </c>
      <c r="PCT47" s="32" t="s">
        <v>92</v>
      </c>
      <c r="PCU47" s="8" t="s">
        <v>132</v>
      </c>
      <c r="PCV47" s="22" t="s">
        <v>46</v>
      </c>
      <c r="PCW47" s="8" t="s">
        <v>433</v>
      </c>
      <c r="PCX47" s="32" t="s">
        <v>92</v>
      </c>
      <c r="PCY47" s="8" t="s">
        <v>132</v>
      </c>
      <c r="PCZ47" s="22" t="s">
        <v>46</v>
      </c>
      <c r="PDA47" s="8" t="s">
        <v>433</v>
      </c>
      <c r="PDB47" s="32" t="s">
        <v>92</v>
      </c>
      <c r="PDC47" s="8" t="s">
        <v>132</v>
      </c>
      <c r="PDD47" s="22" t="s">
        <v>46</v>
      </c>
      <c r="PDE47" s="8" t="s">
        <v>433</v>
      </c>
      <c r="PDF47" s="32" t="s">
        <v>92</v>
      </c>
      <c r="PDG47" s="8" t="s">
        <v>132</v>
      </c>
      <c r="PDH47" s="22" t="s">
        <v>46</v>
      </c>
      <c r="PDI47" s="8" t="s">
        <v>433</v>
      </c>
      <c r="PDJ47" s="32" t="s">
        <v>92</v>
      </c>
      <c r="PDK47" s="8" t="s">
        <v>132</v>
      </c>
      <c r="PDL47" s="22" t="s">
        <v>46</v>
      </c>
      <c r="PDM47" s="8" t="s">
        <v>433</v>
      </c>
      <c r="PDN47" s="32" t="s">
        <v>92</v>
      </c>
      <c r="PDO47" s="8" t="s">
        <v>132</v>
      </c>
      <c r="PDP47" s="22" t="s">
        <v>46</v>
      </c>
      <c r="PDQ47" s="8" t="s">
        <v>433</v>
      </c>
      <c r="PDR47" s="32" t="s">
        <v>92</v>
      </c>
      <c r="PDS47" s="8" t="s">
        <v>132</v>
      </c>
      <c r="PDT47" s="22" t="s">
        <v>46</v>
      </c>
      <c r="PDU47" s="8" t="s">
        <v>433</v>
      </c>
      <c r="PDV47" s="32" t="s">
        <v>92</v>
      </c>
      <c r="PDW47" s="8" t="s">
        <v>132</v>
      </c>
      <c r="PDX47" s="22" t="s">
        <v>46</v>
      </c>
      <c r="PDY47" s="8" t="s">
        <v>433</v>
      </c>
      <c r="PDZ47" s="32" t="s">
        <v>92</v>
      </c>
      <c r="PEA47" s="8" t="s">
        <v>132</v>
      </c>
      <c r="PEB47" s="22" t="s">
        <v>46</v>
      </c>
      <c r="PEC47" s="8" t="s">
        <v>433</v>
      </c>
      <c r="PED47" s="32" t="s">
        <v>92</v>
      </c>
      <c r="PEE47" s="8" t="s">
        <v>132</v>
      </c>
      <c r="PEF47" s="22" t="s">
        <v>46</v>
      </c>
      <c r="PEG47" s="8" t="s">
        <v>433</v>
      </c>
      <c r="PEH47" s="32" t="s">
        <v>92</v>
      </c>
      <c r="PEI47" s="8" t="s">
        <v>132</v>
      </c>
      <c r="PEJ47" s="22" t="s">
        <v>46</v>
      </c>
      <c r="PEK47" s="8" t="s">
        <v>433</v>
      </c>
      <c r="PEL47" s="32" t="s">
        <v>92</v>
      </c>
      <c r="PEM47" s="8" t="s">
        <v>132</v>
      </c>
      <c r="PEN47" s="22" t="s">
        <v>46</v>
      </c>
      <c r="PEO47" s="8" t="s">
        <v>433</v>
      </c>
      <c r="PEP47" s="32" t="s">
        <v>92</v>
      </c>
      <c r="PEQ47" s="8" t="s">
        <v>132</v>
      </c>
      <c r="PER47" s="22" t="s">
        <v>46</v>
      </c>
      <c r="PES47" s="8" t="s">
        <v>433</v>
      </c>
      <c r="PET47" s="32" t="s">
        <v>92</v>
      </c>
      <c r="PEU47" s="8" t="s">
        <v>132</v>
      </c>
      <c r="PEV47" s="22" t="s">
        <v>46</v>
      </c>
      <c r="PEW47" s="8" t="s">
        <v>433</v>
      </c>
      <c r="PEX47" s="32" t="s">
        <v>92</v>
      </c>
      <c r="PEY47" s="8" t="s">
        <v>132</v>
      </c>
      <c r="PEZ47" s="22" t="s">
        <v>46</v>
      </c>
      <c r="PFA47" s="8" t="s">
        <v>433</v>
      </c>
      <c r="PFB47" s="32" t="s">
        <v>92</v>
      </c>
      <c r="PFC47" s="8" t="s">
        <v>132</v>
      </c>
      <c r="PFD47" s="22" t="s">
        <v>46</v>
      </c>
      <c r="PFE47" s="8" t="s">
        <v>433</v>
      </c>
      <c r="PFF47" s="32" t="s">
        <v>92</v>
      </c>
      <c r="PFG47" s="8" t="s">
        <v>132</v>
      </c>
      <c r="PFH47" s="22" t="s">
        <v>46</v>
      </c>
      <c r="PFI47" s="8" t="s">
        <v>433</v>
      </c>
      <c r="PFJ47" s="32" t="s">
        <v>92</v>
      </c>
      <c r="PFK47" s="8" t="s">
        <v>132</v>
      </c>
      <c r="PFL47" s="22" t="s">
        <v>46</v>
      </c>
      <c r="PFM47" s="8" t="s">
        <v>433</v>
      </c>
      <c r="PFN47" s="32" t="s">
        <v>92</v>
      </c>
      <c r="PFO47" s="8" t="s">
        <v>132</v>
      </c>
      <c r="PFP47" s="22" t="s">
        <v>46</v>
      </c>
      <c r="PFQ47" s="8" t="s">
        <v>433</v>
      </c>
      <c r="PFR47" s="32" t="s">
        <v>92</v>
      </c>
      <c r="PFS47" s="8" t="s">
        <v>132</v>
      </c>
      <c r="PFT47" s="22" t="s">
        <v>46</v>
      </c>
      <c r="PFU47" s="8" t="s">
        <v>433</v>
      </c>
      <c r="PFV47" s="32" t="s">
        <v>92</v>
      </c>
      <c r="PFW47" s="8" t="s">
        <v>132</v>
      </c>
      <c r="PFX47" s="22" t="s">
        <v>46</v>
      </c>
      <c r="PFY47" s="8" t="s">
        <v>433</v>
      </c>
      <c r="PFZ47" s="32" t="s">
        <v>92</v>
      </c>
      <c r="PGA47" s="8" t="s">
        <v>132</v>
      </c>
      <c r="PGB47" s="22" t="s">
        <v>46</v>
      </c>
      <c r="PGC47" s="8" t="s">
        <v>433</v>
      </c>
      <c r="PGD47" s="32" t="s">
        <v>92</v>
      </c>
      <c r="PGE47" s="8" t="s">
        <v>132</v>
      </c>
      <c r="PGF47" s="22" t="s">
        <v>46</v>
      </c>
      <c r="PGG47" s="8" t="s">
        <v>433</v>
      </c>
      <c r="PGH47" s="32" t="s">
        <v>92</v>
      </c>
      <c r="PGI47" s="8" t="s">
        <v>132</v>
      </c>
      <c r="PGJ47" s="22" t="s">
        <v>46</v>
      </c>
      <c r="PGK47" s="8" t="s">
        <v>433</v>
      </c>
      <c r="PGL47" s="32" t="s">
        <v>92</v>
      </c>
      <c r="PGM47" s="8" t="s">
        <v>132</v>
      </c>
      <c r="PGN47" s="22" t="s">
        <v>46</v>
      </c>
      <c r="PGO47" s="8" t="s">
        <v>433</v>
      </c>
      <c r="PGP47" s="32" t="s">
        <v>92</v>
      </c>
      <c r="PGQ47" s="8" t="s">
        <v>132</v>
      </c>
      <c r="PGR47" s="22" t="s">
        <v>46</v>
      </c>
      <c r="PGS47" s="8" t="s">
        <v>433</v>
      </c>
      <c r="PGT47" s="32" t="s">
        <v>92</v>
      </c>
      <c r="PGU47" s="8" t="s">
        <v>132</v>
      </c>
      <c r="PGV47" s="22" t="s">
        <v>46</v>
      </c>
      <c r="PGW47" s="8" t="s">
        <v>433</v>
      </c>
      <c r="PGX47" s="32" t="s">
        <v>92</v>
      </c>
      <c r="PGY47" s="8" t="s">
        <v>132</v>
      </c>
      <c r="PGZ47" s="22" t="s">
        <v>46</v>
      </c>
      <c r="PHA47" s="8" t="s">
        <v>433</v>
      </c>
      <c r="PHB47" s="32" t="s">
        <v>92</v>
      </c>
      <c r="PHC47" s="8" t="s">
        <v>132</v>
      </c>
      <c r="PHD47" s="22" t="s">
        <v>46</v>
      </c>
      <c r="PHE47" s="8" t="s">
        <v>433</v>
      </c>
      <c r="PHF47" s="32" t="s">
        <v>92</v>
      </c>
      <c r="PHG47" s="8" t="s">
        <v>132</v>
      </c>
      <c r="PHH47" s="22" t="s">
        <v>46</v>
      </c>
      <c r="PHI47" s="8" t="s">
        <v>433</v>
      </c>
      <c r="PHJ47" s="32" t="s">
        <v>92</v>
      </c>
      <c r="PHK47" s="8" t="s">
        <v>132</v>
      </c>
      <c r="PHL47" s="22" t="s">
        <v>46</v>
      </c>
      <c r="PHM47" s="8" t="s">
        <v>433</v>
      </c>
      <c r="PHN47" s="32" t="s">
        <v>92</v>
      </c>
      <c r="PHO47" s="8" t="s">
        <v>132</v>
      </c>
      <c r="PHP47" s="22" t="s">
        <v>46</v>
      </c>
      <c r="PHQ47" s="8" t="s">
        <v>433</v>
      </c>
      <c r="PHR47" s="32" t="s">
        <v>92</v>
      </c>
      <c r="PHS47" s="8" t="s">
        <v>132</v>
      </c>
      <c r="PHT47" s="22" t="s">
        <v>46</v>
      </c>
      <c r="PHU47" s="8" t="s">
        <v>433</v>
      </c>
      <c r="PHV47" s="32" t="s">
        <v>92</v>
      </c>
      <c r="PHW47" s="8" t="s">
        <v>132</v>
      </c>
      <c r="PHX47" s="22" t="s">
        <v>46</v>
      </c>
      <c r="PHY47" s="8" t="s">
        <v>433</v>
      </c>
      <c r="PHZ47" s="32" t="s">
        <v>92</v>
      </c>
      <c r="PIA47" s="8" t="s">
        <v>132</v>
      </c>
      <c r="PIB47" s="22" t="s">
        <v>46</v>
      </c>
      <c r="PIC47" s="8" t="s">
        <v>433</v>
      </c>
      <c r="PID47" s="32" t="s">
        <v>92</v>
      </c>
      <c r="PIE47" s="8" t="s">
        <v>132</v>
      </c>
      <c r="PIF47" s="22" t="s">
        <v>46</v>
      </c>
      <c r="PIG47" s="8" t="s">
        <v>433</v>
      </c>
      <c r="PIH47" s="32" t="s">
        <v>92</v>
      </c>
      <c r="PII47" s="8" t="s">
        <v>132</v>
      </c>
      <c r="PIJ47" s="22" t="s">
        <v>46</v>
      </c>
      <c r="PIK47" s="8" t="s">
        <v>433</v>
      </c>
      <c r="PIL47" s="32" t="s">
        <v>92</v>
      </c>
      <c r="PIM47" s="8" t="s">
        <v>132</v>
      </c>
      <c r="PIN47" s="22" t="s">
        <v>46</v>
      </c>
      <c r="PIO47" s="8" t="s">
        <v>433</v>
      </c>
      <c r="PIP47" s="32" t="s">
        <v>92</v>
      </c>
      <c r="PIQ47" s="8" t="s">
        <v>132</v>
      </c>
      <c r="PIR47" s="22" t="s">
        <v>46</v>
      </c>
      <c r="PIS47" s="8" t="s">
        <v>433</v>
      </c>
      <c r="PIT47" s="32" t="s">
        <v>92</v>
      </c>
      <c r="PIU47" s="8" t="s">
        <v>132</v>
      </c>
      <c r="PIV47" s="22" t="s">
        <v>46</v>
      </c>
      <c r="PIW47" s="8" t="s">
        <v>433</v>
      </c>
      <c r="PIX47" s="32" t="s">
        <v>92</v>
      </c>
      <c r="PIY47" s="8" t="s">
        <v>132</v>
      </c>
      <c r="PIZ47" s="22" t="s">
        <v>46</v>
      </c>
      <c r="PJA47" s="8" t="s">
        <v>433</v>
      </c>
      <c r="PJB47" s="32" t="s">
        <v>92</v>
      </c>
      <c r="PJC47" s="8" t="s">
        <v>132</v>
      </c>
      <c r="PJD47" s="22" t="s">
        <v>46</v>
      </c>
      <c r="PJE47" s="8" t="s">
        <v>433</v>
      </c>
      <c r="PJF47" s="32" t="s">
        <v>92</v>
      </c>
      <c r="PJG47" s="8" t="s">
        <v>132</v>
      </c>
      <c r="PJH47" s="22" t="s">
        <v>46</v>
      </c>
      <c r="PJI47" s="8" t="s">
        <v>433</v>
      </c>
      <c r="PJJ47" s="32" t="s">
        <v>92</v>
      </c>
      <c r="PJK47" s="8" t="s">
        <v>132</v>
      </c>
      <c r="PJL47" s="22" t="s">
        <v>46</v>
      </c>
      <c r="PJM47" s="8" t="s">
        <v>433</v>
      </c>
      <c r="PJN47" s="32" t="s">
        <v>92</v>
      </c>
      <c r="PJO47" s="8" t="s">
        <v>132</v>
      </c>
      <c r="PJP47" s="22" t="s">
        <v>46</v>
      </c>
      <c r="PJQ47" s="8" t="s">
        <v>433</v>
      </c>
      <c r="PJR47" s="32" t="s">
        <v>92</v>
      </c>
      <c r="PJS47" s="8" t="s">
        <v>132</v>
      </c>
      <c r="PJT47" s="22" t="s">
        <v>46</v>
      </c>
      <c r="PJU47" s="8" t="s">
        <v>433</v>
      </c>
      <c r="PJV47" s="32" t="s">
        <v>92</v>
      </c>
      <c r="PJW47" s="8" t="s">
        <v>132</v>
      </c>
      <c r="PJX47" s="22" t="s">
        <v>46</v>
      </c>
      <c r="PJY47" s="8" t="s">
        <v>433</v>
      </c>
      <c r="PJZ47" s="32" t="s">
        <v>92</v>
      </c>
      <c r="PKA47" s="8" t="s">
        <v>132</v>
      </c>
      <c r="PKB47" s="22" t="s">
        <v>46</v>
      </c>
      <c r="PKC47" s="8" t="s">
        <v>433</v>
      </c>
      <c r="PKD47" s="32" t="s">
        <v>92</v>
      </c>
      <c r="PKE47" s="8" t="s">
        <v>132</v>
      </c>
      <c r="PKF47" s="22" t="s">
        <v>46</v>
      </c>
      <c r="PKG47" s="8" t="s">
        <v>433</v>
      </c>
      <c r="PKH47" s="32" t="s">
        <v>92</v>
      </c>
      <c r="PKI47" s="8" t="s">
        <v>132</v>
      </c>
      <c r="PKJ47" s="22" t="s">
        <v>46</v>
      </c>
      <c r="PKK47" s="8" t="s">
        <v>433</v>
      </c>
      <c r="PKL47" s="32" t="s">
        <v>92</v>
      </c>
      <c r="PKM47" s="8" t="s">
        <v>132</v>
      </c>
      <c r="PKN47" s="22" t="s">
        <v>46</v>
      </c>
      <c r="PKO47" s="8" t="s">
        <v>433</v>
      </c>
      <c r="PKP47" s="32" t="s">
        <v>92</v>
      </c>
      <c r="PKQ47" s="8" t="s">
        <v>132</v>
      </c>
      <c r="PKR47" s="22" t="s">
        <v>46</v>
      </c>
      <c r="PKS47" s="8" t="s">
        <v>433</v>
      </c>
      <c r="PKT47" s="32" t="s">
        <v>92</v>
      </c>
      <c r="PKU47" s="8" t="s">
        <v>132</v>
      </c>
      <c r="PKV47" s="22" t="s">
        <v>46</v>
      </c>
      <c r="PKW47" s="8" t="s">
        <v>433</v>
      </c>
      <c r="PKX47" s="32" t="s">
        <v>92</v>
      </c>
      <c r="PKY47" s="8" t="s">
        <v>132</v>
      </c>
      <c r="PKZ47" s="22" t="s">
        <v>46</v>
      </c>
      <c r="PLA47" s="8" t="s">
        <v>433</v>
      </c>
      <c r="PLB47" s="32" t="s">
        <v>92</v>
      </c>
      <c r="PLC47" s="8" t="s">
        <v>132</v>
      </c>
      <c r="PLD47" s="22" t="s">
        <v>46</v>
      </c>
      <c r="PLE47" s="8" t="s">
        <v>433</v>
      </c>
      <c r="PLF47" s="32" t="s">
        <v>92</v>
      </c>
      <c r="PLG47" s="8" t="s">
        <v>132</v>
      </c>
      <c r="PLH47" s="22" t="s">
        <v>46</v>
      </c>
      <c r="PLI47" s="8" t="s">
        <v>433</v>
      </c>
      <c r="PLJ47" s="32" t="s">
        <v>92</v>
      </c>
      <c r="PLK47" s="8" t="s">
        <v>132</v>
      </c>
      <c r="PLL47" s="22" t="s">
        <v>46</v>
      </c>
      <c r="PLM47" s="8" t="s">
        <v>433</v>
      </c>
      <c r="PLN47" s="32" t="s">
        <v>92</v>
      </c>
      <c r="PLO47" s="8" t="s">
        <v>132</v>
      </c>
      <c r="PLP47" s="22" t="s">
        <v>46</v>
      </c>
      <c r="PLQ47" s="8" t="s">
        <v>433</v>
      </c>
      <c r="PLR47" s="32" t="s">
        <v>92</v>
      </c>
      <c r="PLS47" s="8" t="s">
        <v>132</v>
      </c>
      <c r="PLT47" s="22" t="s">
        <v>46</v>
      </c>
      <c r="PLU47" s="8" t="s">
        <v>433</v>
      </c>
      <c r="PLV47" s="32" t="s">
        <v>92</v>
      </c>
      <c r="PLW47" s="8" t="s">
        <v>132</v>
      </c>
      <c r="PLX47" s="22" t="s">
        <v>46</v>
      </c>
      <c r="PLY47" s="8" t="s">
        <v>433</v>
      </c>
      <c r="PLZ47" s="32" t="s">
        <v>92</v>
      </c>
      <c r="PMA47" s="8" t="s">
        <v>132</v>
      </c>
      <c r="PMB47" s="22" t="s">
        <v>46</v>
      </c>
      <c r="PMC47" s="8" t="s">
        <v>433</v>
      </c>
      <c r="PMD47" s="32" t="s">
        <v>92</v>
      </c>
      <c r="PME47" s="8" t="s">
        <v>132</v>
      </c>
      <c r="PMF47" s="22" t="s">
        <v>46</v>
      </c>
      <c r="PMG47" s="8" t="s">
        <v>433</v>
      </c>
      <c r="PMH47" s="32" t="s">
        <v>92</v>
      </c>
      <c r="PMI47" s="8" t="s">
        <v>132</v>
      </c>
      <c r="PMJ47" s="22" t="s">
        <v>46</v>
      </c>
      <c r="PMK47" s="8" t="s">
        <v>433</v>
      </c>
      <c r="PML47" s="32" t="s">
        <v>92</v>
      </c>
      <c r="PMM47" s="8" t="s">
        <v>132</v>
      </c>
      <c r="PMN47" s="22" t="s">
        <v>46</v>
      </c>
      <c r="PMO47" s="8" t="s">
        <v>433</v>
      </c>
      <c r="PMP47" s="32" t="s">
        <v>92</v>
      </c>
      <c r="PMQ47" s="8" t="s">
        <v>132</v>
      </c>
      <c r="PMR47" s="22" t="s">
        <v>46</v>
      </c>
      <c r="PMS47" s="8" t="s">
        <v>433</v>
      </c>
      <c r="PMT47" s="32" t="s">
        <v>92</v>
      </c>
      <c r="PMU47" s="8" t="s">
        <v>132</v>
      </c>
      <c r="PMV47" s="22" t="s">
        <v>46</v>
      </c>
      <c r="PMW47" s="8" t="s">
        <v>433</v>
      </c>
      <c r="PMX47" s="32" t="s">
        <v>92</v>
      </c>
      <c r="PMY47" s="8" t="s">
        <v>132</v>
      </c>
      <c r="PMZ47" s="22" t="s">
        <v>46</v>
      </c>
      <c r="PNA47" s="8" t="s">
        <v>433</v>
      </c>
      <c r="PNB47" s="32" t="s">
        <v>92</v>
      </c>
      <c r="PNC47" s="8" t="s">
        <v>132</v>
      </c>
      <c r="PND47" s="22" t="s">
        <v>46</v>
      </c>
      <c r="PNE47" s="8" t="s">
        <v>433</v>
      </c>
      <c r="PNF47" s="32" t="s">
        <v>92</v>
      </c>
      <c r="PNG47" s="8" t="s">
        <v>132</v>
      </c>
      <c r="PNH47" s="22" t="s">
        <v>46</v>
      </c>
      <c r="PNI47" s="8" t="s">
        <v>433</v>
      </c>
      <c r="PNJ47" s="32" t="s">
        <v>92</v>
      </c>
      <c r="PNK47" s="8" t="s">
        <v>132</v>
      </c>
      <c r="PNL47" s="22" t="s">
        <v>46</v>
      </c>
      <c r="PNM47" s="8" t="s">
        <v>433</v>
      </c>
      <c r="PNN47" s="32" t="s">
        <v>92</v>
      </c>
      <c r="PNO47" s="8" t="s">
        <v>132</v>
      </c>
      <c r="PNP47" s="22" t="s">
        <v>46</v>
      </c>
      <c r="PNQ47" s="8" t="s">
        <v>433</v>
      </c>
      <c r="PNR47" s="32" t="s">
        <v>92</v>
      </c>
      <c r="PNS47" s="8" t="s">
        <v>132</v>
      </c>
      <c r="PNT47" s="22" t="s">
        <v>46</v>
      </c>
      <c r="PNU47" s="8" t="s">
        <v>433</v>
      </c>
      <c r="PNV47" s="32" t="s">
        <v>92</v>
      </c>
      <c r="PNW47" s="8" t="s">
        <v>132</v>
      </c>
      <c r="PNX47" s="22" t="s">
        <v>46</v>
      </c>
      <c r="PNY47" s="8" t="s">
        <v>433</v>
      </c>
      <c r="PNZ47" s="32" t="s">
        <v>92</v>
      </c>
      <c r="POA47" s="8" t="s">
        <v>132</v>
      </c>
      <c r="POB47" s="22" t="s">
        <v>46</v>
      </c>
      <c r="POC47" s="8" t="s">
        <v>433</v>
      </c>
      <c r="POD47" s="32" t="s">
        <v>92</v>
      </c>
      <c r="POE47" s="8" t="s">
        <v>132</v>
      </c>
      <c r="POF47" s="22" t="s">
        <v>46</v>
      </c>
      <c r="POG47" s="8" t="s">
        <v>433</v>
      </c>
      <c r="POH47" s="32" t="s">
        <v>92</v>
      </c>
      <c r="POI47" s="8" t="s">
        <v>132</v>
      </c>
      <c r="POJ47" s="22" t="s">
        <v>46</v>
      </c>
      <c r="POK47" s="8" t="s">
        <v>433</v>
      </c>
      <c r="POL47" s="32" t="s">
        <v>92</v>
      </c>
      <c r="POM47" s="8" t="s">
        <v>132</v>
      </c>
      <c r="PON47" s="22" t="s">
        <v>46</v>
      </c>
      <c r="POO47" s="8" t="s">
        <v>433</v>
      </c>
      <c r="POP47" s="32" t="s">
        <v>92</v>
      </c>
      <c r="POQ47" s="8" t="s">
        <v>132</v>
      </c>
      <c r="POR47" s="22" t="s">
        <v>46</v>
      </c>
      <c r="POS47" s="8" t="s">
        <v>433</v>
      </c>
      <c r="POT47" s="32" t="s">
        <v>92</v>
      </c>
      <c r="POU47" s="8" t="s">
        <v>132</v>
      </c>
      <c r="POV47" s="22" t="s">
        <v>46</v>
      </c>
      <c r="POW47" s="8" t="s">
        <v>433</v>
      </c>
      <c r="POX47" s="32" t="s">
        <v>92</v>
      </c>
      <c r="POY47" s="8" t="s">
        <v>132</v>
      </c>
      <c r="POZ47" s="22" t="s">
        <v>46</v>
      </c>
      <c r="PPA47" s="8" t="s">
        <v>433</v>
      </c>
      <c r="PPB47" s="32" t="s">
        <v>92</v>
      </c>
      <c r="PPC47" s="8" t="s">
        <v>132</v>
      </c>
      <c r="PPD47" s="22" t="s">
        <v>46</v>
      </c>
      <c r="PPE47" s="8" t="s">
        <v>433</v>
      </c>
      <c r="PPF47" s="32" t="s">
        <v>92</v>
      </c>
      <c r="PPG47" s="8" t="s">
        <v>132</v>
      </c>
      <c r="PPH47" s="22" t="s">
        <v>46</v>
      </c>
      <c r="PPI47" s="8" t="s">
        <v>433</v>
      </c>
      <c r="PPJ47" s="32" t="s">
        <v>92</v>
      </c>
      <c r="PPK47" s="8" t="s">
        <v>132</v>
      </c>
      <c r="PPL47" s="22" t="s">
        <v>46</v>
      </c>
      <c r="PPM47" s="8" t="s">
        <v>433</v>
      </c>
      <c r="PPN47" s="32" t="s">
        <v>92</v>
      </c>
      <c r="PPO47" s="8" t="s">
        <v>132</v>
      </c>
      <c r="PPP47" s="22" t="s">
        <v>46</v>
      </c>
      <c r="PPQ47" s="8" t="s">
        <v>433</v>
      </c>
      <c r="PPR47" s="32" t="s">
        <v>92</v>
      </c>
      <c r="PPS47" s="8" t="s">
        <v>132</v>
      </c>
      <c r="PPT47" s="22" t="s">
        <v>46</v>
      </c>
      <c r="PPU47" s="8" t="s">
        <v>433</v>
      </c>
      <c r="PPV47" s="32" t="s">
        <v>92</v>
      </c>
      <c r="PPW47" s="8" t="s">
        <v>132</v>
      </c>
      <c r="PPX47" s="22" t="s">
        <v>46</v>
      </c>
      <c r="PPY47" s="8" t="s">
        <v>433</v>
      </c>
      <c r="PPZ47" s="32" t="s">
        <v>92</v>
      </c>
      <c r="PQA47" s="8" t="s">
        <v>132</v>
      </c>
      <c r="PQB47" s="22" t="s">
        <v>46</v>
      </c>
      <c r="PQC47" s="8" t="s">
        <v>433</v>
      </c>
      <c r="PQD47" s="32" t="s">
        <v>92</v>
      </c>
      <c r="PQE47" s="8" t="s">
        <v>132</v>
      </c>
      <c r="PQF47" s="22" t="s">
        <v>46</v>
      </c>
      <c r="PQG47" s="8" t="s">
        <v>433</v>
      </c>
      <c r="PQH47" s="32" t="s">
        <v>92</v>
      </c>
      <c r="PQI47" s="8" t="s">
        <v>132</v>
      </c>
      <c r="PQJ47" s="22" t="s">
        <v>46</v>
      </c>
      <c r="PQK47" s="8" t="s">
        <v>433</v>
      </c>
      <c r="PQL47" s="32" t="s">
        <v>92</v>
      </c>
      <c r="PQM47" s="8" t="s">
        <v>132</v>
      </c>
      <c r="PQN47" s="22" t="s">
        <v>46</v>
      </c>
      <c r="PQO47" s="8" t="s">
        <v>433</v>
      </c>
      <c r="PQP47" s="32" t="s">
        <v>92</v>
      </c>
      <c r="PQQ47" s="8" t="s">
        <v>132</v>
      </c>
      <c r="PQR47" s="22" t="s">
        <v>46</v>
      </c>
      <c r="PQS47" s="8" t="s">
        <v>433</v>
      </c>
      <c r="PQT47" s="32" t="s">
        <v>92</v>
      </c>
      <c r="PQU47" s="8" t="s">
        <v>132</v>
      </c>
      <c r="PQV47" s="22" t="s">
        <v>46</v>
      </c>
      <c r="PQW47" s="8" t="s">
        <v>433</v>
      </c>
      <c r="PQX47" s="32" t="s">
        <v>92</v>
      </c>
      <c r="PQY47" s="8" t="s">
        <v>132</v>
      </c>
      <c r="PQZ47" s="22" t="s">
        <v>46</v>
      </c>
      <c r="PRA47" s="8" t="s">
        <v>433</v>
      </c>
      <c r="PRB47" s="32" t="s">
        <v>92</v>
      </c>
      <c r="PRC47" s="8" t="s">
        <v>132</v>
      </c>
      <c r="PRD47" s="22" t="s">
        <v>46</v>
      </c>
      <c r="PRE47" s="8" t="s">
        <v>433</v>
      </c>
      <c r="PRF47" s="32" t="s">
        <v>92</v>
      </c>
      <c r="PRG47" s="8" t="s">
        <v>132</v>
      </c>
      <c r="PRH47" s="22" t="s">
        <v>46</v>
      </c>
      <c r="PRI47" s="8" t="s">
        <v>433</v>
      </c>
      <c r="PRJ47" s="32" t="s">
        <v>92</v>
      </c>
      <c r="PRK47" s="8" t="s">
        <v>132</v>
      </c>
      <c r="PRL47" s="22" t="s">
        <v>46</v>
      </c>
      <c r="PRM47" s="8" t="s">
        <v>433</v>
      </c>
      <c r="PRN47" s="32" t="s">
        <v>92</v>
      </c>
      <c r="PRO47" s="8" t="s">
        <v>132</v>
      </c>
      <c r="PRP47" s="22" t="s">
        <v>46</v>
      </c>
      <c r="PRQ47" s="8" t="s">
        <v>433</v>
      </c>
      <c r="PRR47" s="32" t="s">
        <v>92</v>
      </c>
      <c r="PRS47" s="8" t="s">
        <v>132</v>
      </c>
      <c r="PRT47" s="22" t="s">
        <v>46</v>
      </c>
      <c r="PRU47" s="8" t="s">
        <v>433</v>
      </c>
      <c r="PRV47" s="32" t="s">
        <v>92</v>
      </c>
      <c r="PRW47" s="8" t="s">
        <v>132</v>
      </c>
      <c r="PRX47" s="22" t="s">
        <v>46</v>
      </c>
      <c r="PRY47" s="8" t="s">
        <v>433</v>
      </c>
      <c r="PRZ47" s="32" t="s">
        <v>92</v>
      </c>
      <c r="PSA47" s="8" t="s">
        <v>132</v>
      </c>
      <c r="PSB47" s="22" t="s">
        <v>46</v>
      </c>
      <c r="PSC47" s="8" t="s">
        <v>433</v>
      </c>
      <c r="PSD47" s="32" t="s">
        <v>92</v>
      </c>
      <c r="PSE47" s="8" t="s">
        <v>132</v>
      </c>
      <c r="PSF47" s="22" t="s">
        <v>46</v>
      </c>
      <c r="PSG47" s="8" t="s">
        <v>433</v>
      </c>
      <c r="PSH47" s="32" t="s">
        <v>92</v>
      </c>
      <c r="PSI47" s="8" t="s">
        <v>132</v>
      </c>
      <c r="PSJ47" s="22" t="s">
        <v>46</v>
      </c>
      <c r="PSK47" s="8" t="s">
        <v>433</v>
      </c>
      <c r="PSL47" s="32" t="s">
        <v>92</v>
      </c>
      <c r="PSM47" s="8" t="s">
        <v>132</v>
      </c>
      <c r="PSN47" s="22" t="s">
        <v>46</v>
      </c>
      <c r="PSO47" s="8" t="s">
        <v>433</v>
      </c>
      <c r="PSP47" s="32" t="s">
        <v>92</v>
      </c>
      <c r="PSQ47" s="8" t="s">
        <v>132</v>
      </c>
      <c r="PSR47" s="22" t="s">
        <v>46</v>
      </c>
      <c r="PSS47" s="8" t="s">
        <v>433</v>
      </c>
      <c r="PST47" s="32" t="s">
        <v>92</v>
      </c>
      <c r="PSU47" s="8" t="s">
        <v>132</v>
      </c>
      <c r="PSV47" s="22" t="s">
        <v>46</v>
      </c>
      <c r="PSW47" s="8" t="s">
        <v>433</v>
      </c>
      <c r="PSX47" s="32" t="s">
        <v>92</v>
      </c>
      <c r="PSY47" s="8" t="s">
        <v>132</v>
      </c>
      <c r="PSZ47" s="22" t="s">
        <v>46</v>
      </c>
      <c r="PTA47" s="8" t="s">
        <v>433</v>
      </c>
      <c r="PTB47" s="32" t="s">
        <v>92</v>
      </c>
      <c r="PTC47" s="8" t="s">
        <v>132</v>
      </c>
      <c r="PTD47" s="22" t="s">
        <v>46</v>
      </c>
      <c r="PTE47" s="8" t="s">
        <v>433</v>
      </c>
      <c r="PTF47" s="32" t="s">
        <v>92</v>
      </c>
      <c r="PTG47" s="8" t="s">
        <v>132</v>
      </c>
      <c r="PTH47" s="22" t="s">
        <v>46</v>
      </c>
      <c r="PTI47" s="8" t="s">
        <v>433</v>
      </c>
      <c r="PTJ47" s="32" t="s">
        <v>92</v>
      </c>
      <c r="PTK47" s="8" t="s">
        <v>132</v>
      </c>
      <c r="PTL47" s="22" t="s">
        <v>46</v>
      </c>
      <c r="PTM47" s="8" t="s">
        <v>433</v>
      </c>
      <c r="PTN47" s="32" t="s">
        <v>92</v>
      </c>
      <c r="PTO47" s="8" t="s">
        <v>132</v>
      </c>
      <c r="PTP47" s="22" t="s">
        <v>46</v>
      </c>
      <c r="PTQ47" s="8" t="s">
        <v>433</v>
      </c>
      <c r="PTR47" s="32" t="s">
        <v>92</v>
      </c>
      <c r="PTS47" s="8" t="s">
        <v>132</v>
      </c>
      <c r="PTT47" s="22" t="s">
        <v>46</v>
      </c>
      <c r="PTU47" s="8" t="s">
        <v>433</v>
      </c>
      <c r="PTV47" s="32" t="s">
        <v>92</v>
      </c>
      <c r="PTW47" s="8" t="s">
        <v>132</v>
      </c>
      <c r="PTX47" s="22" t="s">
        <v>46</v>
      </c>
      <c r="PTY47" s="8" t="s">
        <v>433</v>
      </c>
      <c r="PTZ47" s="32" t="s">
        <v>92</v>
      </c>
      <c r="PUA47" s="8" t="s">
        <v>132</v>
      </c>
      <c r="PUB47" s="22" t="s">
        <v>46</v>
      </c>
      <c r="PUC47" s="8" t="s">
        <v>433</v>
      </c>
      <c r="PUD47" s="32" t="s">
        <v>92</v>
      </c>
      <c r="PUE47" s="8" t="s">
        <v>132</v>
      </c>
      <c r="PUF47" s="22" t="s">
        <v>46</v>
      </c>
      <c r="PUG47" s="8" t="s">
        <v>433</v>
      </c>
      <c r="PUH47" s="32" t="s">
        <v>92</v>
      </c>
      <c r="PUI47" s="8" t="s">
        <v>132</v>
      </c>
      <c r="PUJ47" s="22" t="s">
        <v>46</v>
      </c>
      <c r="PUK47" s="8" t="s">
        <v>433</v>
      </c>
      <c r="PUL47" s="32" t="s">
        <v>92</v>
      </c>
      <c r="PUM47" s="8" t="s">
        <v>132</v>
      </c>
      <c r="PUN47" s="22" t="s">
        <v>46</v>
      </c>
      <c r="PUO47" s="8" t="s">
        <v>433</v>
      </c>
      <c r="PUP47" s="32" t="s">
        <v>92</v>
      </c>
      <c r="PUQ47" s="8" t="s">
        <v>132</v>
      </c>
      <c r="PUR47" s="22" t="s">
        <v>46</v>
      </c>
      <c r="PUS47" s="8" t="s">
        <v>433</v>
      </c>
      <c r="PUT47" s="32" t="s">
        <v>92</v>
      </c>
      <c r="PUU47" s="8" t="s">
        <v>132</v>
      </c>
      <c r="PUV47" s="22" t="s">
        <v>46</v>
      </c>
      <c r="PUW47" s="8" t="s">
        <v>433</v>
      </c>
      <c r="PUX47" s="32" t="s">
        <v>92</v>
      </c>
      <c r="PUY47" s="8" t="s">
        <v>132</v>
      </c>
      <c r="PUZ47" s="22" t="s">
        <v>46</v>
      </c>
      <c r="PVA47" s="8" t="s">
        <v>433</v>
      </c>
      <c r="PVB47" s="32" t="s">
        <v>92</v>
      </c>
      <c r="PVC47" s="8" t="s">
        <v>132</v>
      </c>
      <c r="PVD47" s="22" t="s">
        <v>46</v>
      </c>
      <c r="PVE47" s="8" t="s">
        <v>433</v>
      </c>
      <c r="PVF47" s="32" t="s">
        <v>92</v>
      </c>
      <c r="PVG47" s="8" t="s">
        <v>132</v>
      </c>
      <c r="PVH47" s="22" t="s">
        <v>46</v>
      </c>
      <c r="PVI47" s="8" t="s">
        <v>433</v>
      </c>
      <c r="PVJ47" s="32" t="s">
        <v>92</v>
      </c>
      <c r="PVK47" s="8" t="s">
        <v>132</v>
      </c>
      <c r="PVL47" s="22" t="s">
        <v>46</v>
      </c>
      <c r="PVM47" s="8" t="s">
        <v>433</v>
      </c>
      <c r="PVN47" s="32" t="s">
        <v>92</v>
      </c>
      <c r="PVO47" s="8" t="s">
        <v>132</v>
      </c>
      <c r="PVP47" s="22" t="s">
        <v>46</v>
      </c>
      <c r="PVQ47" s="8" t="s">
        <v>433</v>
      </c>
      <c r="PVR47" s="32" t="s">
        <v>92</v>
      </c>
      <c r="PVS47" s="8" t="s">
        <v>132</v>
      </c>
      <c r="PVT47" s="22" t="s">
        <v>46</v>
      </c>
      <c r="PVU47" s="8" t="s">
        <v>433</v>
      </c>
      <c r="PVV47" s="32" t="s">
        <v>92</v>
      </c>
      <c r="PVW47" s="8" t="s">
        <v>132</v>
      </c>
      <c r="PVX47" s="22" t="s">
        <v>46</v>
      </c>
      <c r="PVY47" s="8" t="s">
        <v>433</v>
      </c>
      <c r="PVZ47" s="32" t="s">
        <v>92</v>
      </c>
      <c r="PWA47" s="8" t="s">
        <v>132</v>
      </c>
      <c r="PWB47" s="22" t="s">
        <v>46</v>
      </c>
      <c r="PWC47" s="8" t="s">
        <v>433</v>
      </c>
      <c r="PWD47" s="32" t="s">
        <v>92</v>
      </c>
      <c r="PWE47" s="8" t="s">
        <v>132</v>
      </c>
      <c r="PWF47" s="22" t="s">
        <v>46</v>
      </c>
      <c r="PWG47" s="8" t="s">
        <v>433</v>
      </c>
      <c r="PWH47" s="32" t="s">
        <v>92</v>
      </c>
      <c r="PWI47" s="8" t="s">
        <v>132</v>
      </c>
      <c r="PWJ47" s="22" t="s">
        <v>46</v>
      </c>
      <c r="PWK47" s="8" t="s">
        <v>433</v>
      </c>
      <c r="PWL47" s="32" t="s">
        <v>92</v>
      </c>
      <c r="PWM47" s="8" t="s">
        <v>132</v>
      </c>
      <c r="PWN47" s="22" t="s">
        <v>46</v>
      </c>
      <c r="PWO47" s="8" t="s">
        <v>433</v>
      </c>
      <c r="PWP47" s="32" t="s">
        <v>92</v>
      </c>
      <c r="PWQ47" s="8" t="s">
        <v>132</v>
      </c>
      <c r="PWR47" s="22" t="s">
        <v>46</v>
      </c>
      <c r="PWS47" s="8" t="s">
        <v>433</v>
      </c>
      <c r="PWT47" s="32" t="s">
        <v>92</v>
      </c>
      <c r="PWU47" s="8" t="s">
        <v>132</v>
      </c>
      <c r="PWV47" s="22" t="s">
        <v>46</v>
      </c>
      <c r="PWW47" s="8" t="s">
        <v>433</v>
      </c>
      <c r="PWX47" s="32" t="s">
        <v>92</v>
      </c>
      <c r="PWY47" s="8" t="s">
        <v>132</v>
      </c>
      <c r="PWZ47" s="22" t="s">
        <v>46</v>
      </c>
      <c r="PXA47" s="8" t="s">
        <v>433</v>
      </c>
      <c r="PXB47" s="32" t="s">
        <v>92</v>
      </c>
      <c r="PXC47" s="8" t="s">
        <v>132</v>
      </c>
      <c r="PXD47" s="22" t="s">
        <v>46</v>
      </c>
      <c r="PXE47" s="8" t="s">
        <v>433</v>
      </c>
      <c r="PXF47" s="32" t="s">
        <v>92</v>
      </c>
      <c r="PXG47" s="8" t="s">
        <v>132</v>
      </c>
      <c r="PXH47" s="22" t="s">
        <v>46</v>
      </c>
      <c r="PXI47" s="8" t="s">
        <v>433</v>
      </c>
      <c r="PXJ47" s="32" t="s">
        <v>92</v>
      </c>
      <c r="PXK47" s="8" t="s">
        <v>132</v>
      </c>
      <c r="PXL47" s="22" t="s">
        <v>46</v>
      </c>
      <c r="PXM47" s="8" t="s">
        <v>433</v>
      </c>
      <c r="PXN47" s="32" t="s">
        <v>92</v>
      </c>
      <c r="PXO47" s="8" t="s">
        <v>132</v>
      </c>
      <c r="PXP47" s="22" t="s">
        <v>46</v>
      </c>
      <c r="PXQ47" s="8" t="s">
        <v>433</v>
      </c>
      <c r="PXR47" s="32" t="s">
        <v>92</v>
      </c>
      <c r="PXS47" s="8" t="s">
        <v>132</v>
      </c>
      <c r="PXT47" s="22" t="s">
        <v>46</v>
      </c>
      <c r="PXU47" s="8" t="s">
        <v>433</v>
      </c>
      <c r="PXV47" s="32" t="s">
        <v>92</v>
      </c>
      <c r="PXW47" s="8" t="s">
        <v>132</v>
      </c>
      <c r="PXX47" s="22" t="s">
        <v>46</v>
      </c>
      <c r="PXY47" s="8" t="s">
        <v>433</v>
      </c>
      <c r="PXZ47" s="32" t="s">
        <v>92</v>
      </c>
      <c r="PYA47" s="8" t="s">
        <v>132</v>
      </c>
      <c r="PYB47" s="22" t="s">
        <v>46</v>
      </c>
      <c r="PYC47" s="8" t="s">
        <v>433</v>
      </c>
      <c r="PYD47" s="32" t="s">
        <v>92</v>
      </c>
      <c r="PYE47" s="8" t="s">
        <v>132</v>
      </c>
      <c r="PYF47" s="22" t="s">
        <v>46</v>
      </c>
      <c r="PYG47" s="8" t="s">
        <v>433</v>
      </c>
      <c r="PYH47" s="32" t="s">
        <v>92</v>
      </c>
      <c r="PYI47" s="8" t="s">
        <v>132</v>
      </c>
      <c r="PYJ47" s="22" t="s">
        <v>46</v>
      </c>
      <c r="PYK47" s="8" t="s">
        <v>433</v>
      </c>
      <c r="PYL47" s="32" t="s">
        <v>92</v>
      </c>
      <c r="PYM47" s="8" t="s">
        <v>132</v>
      </c>
      <c r="PYN47" s="22" t="s">
        <v>46</v>
      </c>
      <c r="PYO47" s="8" t="s">
        <v>433</v>
      </c>
      <c r="PYP47" s="32" t="s">
        <v>92</v>
      </c>
      <c r="PYQ47" s="8" t="s">
        <v>132</v>
      </c>
      <c r="PYR47" s="22" t="s">
        <v>46</v>
      </c>
      <c r="PYS47" s="8" t="s">
        <v>433</v>
      </c>
      <c r="PYT47" s="32" t="s">
        <v>92</v>
      </c>
      <c r="PYU47" s="8" t="s">
        <v>132</v>
      </c>
      <c r="PYV47" s="22" t="s">
        <v>46</v>
      </c>
      <c r="PYW47" s="8" t="s">
        <v>433</v>
      </c>
      <c r="PYX47" s="32" t="s">
        <v>92</v>
      </c>
      <c r="PYY47" s="8" t="s">
        <v>132</v>
      </c>
      <c r="PYZ47" s="22" t="s">
        <v>46</v>
      </c>
      <c r="PZA47" s="8" t="s">
        <v>433</v>
      </c>
      <c r="PZB47" s="32" t="s">
        <v>92</v>
      </c>
      <c r="PZC47" s="8" t="s">
        <v>132</v>
      </c>
      <c r="PZD47" s="22" t="s">
        <v>46</v>
      </c>
      <c r="PZE47" s="8" t="s">
        <v>433</v>
      </c>
      <c r="PZF47" s="32" t="s">
        <v>92</v>
      </c>
      <c r="PZG47" s="8" t="s">
        <v>132</v>
      </c>
      <c r="PZH47" s="22" t="s">
        <v>46</v>
      </c>
      <c r="PZI47" s="8" t="s">
        <v>433</v>
      </c>
      <c r="PZJ47" s="32" t="s">
        <v>92</v>
      </c>
      <c r="PZK47" s="8" t="s">
        <v>132</v>
      </c>
      <c r="PZL47" s="22" t="s">
        <v>46</v>
      </c>
      <c r="PZM47" s="8" t="s">
        <v>433</v>
      </c>
      <c r="PZN47" s="32" t="s">
        <v>92</v>
      </c>
      <c r="PZO47" s="8" t="s">
        <v>132</v>
      </c>
      <c r="PZP47" s="22" t="s">
        <v>46</v>
      </c>
      <c r="PZQ47" s="8" t="s">
        <v>433</v>
      </c>
      <c r="PZR47" s="32" t="s">
        <v>92</v>
      </c>
      <c r="PZS47" s="8" t="s">
        <v>132</v>
      </c>
      <c r="PZT47" s="22" t="s">
        <v>46</v>
      </c>
      <c r="PZU47" s="8" t="s">
        <v>433</v>
      </c>
      <c r="PZV47" s="32" t="s">
        <v>92</v>
      </c>
      <c r="PZW47" s="8" t="s">
        <v>132</v>
      </c>
      <c r="PZX47" s="22" t="s">
        <v>46</v>
      </c>
      <c r="PZY47" s="8" t="s">
        <v>433</v>
      </c>
      <c r="PZZ47" s="32" t="s">
        <v>92</v>
      </c>
      <c r="QAA47" s="8" t="s">
        <v>132</v>
      </c>
      <c r="QAB47" s="22" t="s">
        <v>46</v>
      </c>
      <c r="QAC47" s="8" t="s">
        <v>433</v>
      </c>
      <c r="QAD47" s="32" t="s">
        <v>92</v>
      </c>
      <c r="QAE47" s="8" t="s">
        <v>132</v>
      </c>
      <c r="QAF47" s="22" t="s">
        <v>46</v>
      </c>
      <c r="QAG47" s="8" t="s">
        <v>433</v>
      </c>
      <c r="QAH47" s="32" t="s">
        <v>92</v>
      </c>
      <c r="QAI47" s="8" t="s">
        <v>132</v>
      </c>
      <c r="QAJ47" s="22" t="s">
        <v>46</v>
      </c>
      <c r="QAK47" s="8" t="s">
        <v>433</v>
      </c>
      <c r="QAL47" s="32" t="s">
        <v>92</v>
      </c>
      <c r="QAM47" s="8" t="s">
        <v>132</v>
      </c>
      <c r="QAN47" s="22" t="s">
        <v>46</v>
      </c>
      <c r="QAO47" s="8" t="s">
        <v>433</v>
      </c>
      <c r="QAP47" s="32" t="s">
        <v>92</v>
      </c>
      <c r="QAQ47" s="8" t="s">
        <v>132</v>
      </c>
      <c r="QAR47" s="22" t="s">
        <v>46</v>
      </c>
      <c r="QAS47" s="8" t="s">
        <v>433</v>
      </c>
      <c r="QAT47" s="32" t="s">
        <v>92</v>
      </c>
      <c r="QAU47" s="8" t="s">
        <v>132</v>
      </c>
      <c r="QAV47" s="22" t="s">
        <v>46</v>
      </c>
      <c r="QAW47" s="8" t="s">
        <v>433</v>
      </c>
      <c r="QAX47" s="32" t="s">
        <v>92</v>
      </c>
      <c r="QAY47" s="8" t="s">
        <v>132</v>
      </c>
      <c r="QAZ47" s="22" t="s">
        <v>46</v>
      </c>
      <c r="QBA47" s="8" t="s">
        <v>433</v>
      </c>
      <c r="QBB47" s="32" t="s">
        <v>92</v>
      </c>
      <c r="QBC47" s="8" t="s">
        <v>132</v>
      </c>
      <c r="QBD47" s="22" t="s">
        <v>46</v>
      </c>
      <c r="QBE47" s="8" t="s">
        <v>433</v>
      </c>
      <c r="QBF47" s="32" t="s">
        <v>92</v>
      </c>
      <c r="QBG47" s="8" t="s">
        <v>132</v>
      </c>
      <c r="QBH47" s="22" t="s">
        <v>46</v>
      </c>
      <c r="QBI47" s="8" t="s">
        <v>433</v>
      </c>
      <c r="QBJ47" s="32" t="s">
        <v>92</v>
      </c>
      <c r="QBK47" s="8" t="s">
        <v>132</v>
      </c>
      <c r="QBL47" s="22" t="s">
        <v>46</v>
      </c>
      <c r="QBM47" s="8" t="s">
        <v>433</v>
      </c>
      <c r="QBN47" s="32" t="s">
        <v>92</v>
      </c>
      <c r="QBO47" s="8" t="s">
        <v>132</v>
      </c>
      <c r="QBP47" s="22" t="s">
        <v>46</v>
      </c>
      <c r="QBQ47" s="8" t="s">
        <v>433</v>
      </c>
      <c r="QBR47" s="32" t="s">
        <v>92</v>
      </c>
      <c r="QBS47" s="8" t="s">
        <v>132</v>
      </c>
      <c r="QBT47" s="22" t="s">
        <v>46</v>
      </c>
      <c r="QBU47" s="8" t="s">
        <v>433</v>
      </c>
      <c r="QBV47" s="32" t="s">
        <v>92</v>
      </c>
      <c r="QBW47" s="8" t="s">
        <v>132</v>
      </c>
      <c r="QBX47" s="22" t="s">
        <v>46</v>
      </c>
      <c r="QBY47" s="8" t="s">
        <v>433</v>
      </c>
      <c r="QBZ47" s="32" t="s">
        <v>92</v>
      </c>
      <c r="QCA47" s="8" t="s">
        <v>132</v>
      </c>
      <c r="QCB47" s="22" t="s">
        <v>46</v>
      </c>
      <c r="QCC47" s="8" t="s">
        <v>433</v>
      </c>
      <c r="QCD47" s="32" t="s">
        <v>92</v>
      </c>
      <c r="QCE47" s="8" t="s">
        <v>132</v>
      </c>
      <c r="QCF47" s="22" t="s">
        <v>46</v>
      </c>
      <c r="QCG47" s="8" t="s">
        <v>433</v>
      </c>
      <c r="QCH47" s="32" t="s">
        <v>92</v>
      </c>
      <c r="QCI47" s="8" t="s">
        <v>132</v>
      </c>
      <c r="QCJ47" s="22" t="s">
        <v>46</v>
      </c>
      <c r="QCK47" s="8" t="s">
        <v>433</v>
      </c>
      <c r="QCL47" s="32" t="s">
        <v>92</v>
      </c>
      <c r="QCM47" s="8" t="s">
        <v>132</v>
      </c>
      <c r="QCN47" s="22" t="s">
        <v>46</v>
      </c>
      <c r="QCO47" s="8" t="s">
        <v>433</v>
      </c>
      <c r="QCP47" s="32" t="s">
        <v>92</v>
      </c>
      <c r="QCQ47" s="8" t="s">
        <v>132</v>
      </c>
      <c r="QCR47" s="22" t="s">
        <v>46</v>
      </c>
      <c r="QCS47" s="8" t="s">
        <v>433</v>
      </c>
      <c r="QCT47" s="32" t="s">
        <v>92</v>
      </c>
      <c r="QCU47" s="8" t="s">
        <v>132</v>
      </c>
      <c r="QCV47" s="22" t="s">
        <v>46</v>
      </c>
      <c r="QCW47" s="8" t="s">
        <v>433</v>
      </c>
      <c r="QCX47" s="32" t="s">
        <v>92</v>
      </c>
      <c r="QCY47" s="8" t="s">
        <v>132</v>
      </c>
      <c r="QCZ47" s="22" t="s">
        <v>46</v>
      </c>
      <c r="QDA47" s="8" t="s">
        <v>433</v>
      </c>
      <c r="QDB47" s="32" t="s">
        <v>92</v>
      </c>
      <c r="QDC47" s="8" t="s">
        <v>132</v>
      </c>
      <c r="QDD47" s="22" t="s">
        <v>46</v>
      </c>
      <c r="QDE47" s="8" t="s">
        <v>433</v>
      </c>
      <c r="QDF47" s="32" t="s">
        <v>92</v>
      </c>
      <c r="QDG47" s="8" t="s">
        <v>132</v>
      </c>
      <c r="QDH47" s="22" t="s">
        <v>46</v>
      </c>
      <c r="QDI47" s="8" t="s">
        <v>433</v>
      </c>
      <c r="QDJ47" s="32" t="s">
        <v>92</v>
      </c>
      <c r="QDK47" s="8" t="s">
        <v>132</v>
      </c>
      <c r="QDL47" s="22" t="s">
        <v>46</v>
      </c>
      <c r="QDM47" s="8" t="s">
        <v>433</v>
      </c>
      <c r="QDN47" s="32" t="s">
        <v>92</v>
      </c>
      <c r="QDO47" s="8" t="s">
        <v>132</v>
      </c>
      <c r="QDP47" s="22" t="s">
        <v>46</v>
      </c>
      <c r="QDQ47" s="8" t="s">
        <v>433</v>
      </c>
      <c r="QDR47" s="32" t="s">
        <v>92</v>
      </c>
      <c r="QDS47" s="8" t="s">
        <v>132</v>
      </c>
      <c r="QDT47" s="22" t="s">
        <v>46</v>
      </c>
      <c r="QDU47" s="8" t="s">
        <v>433</v>
      </c>
      <c r="QDV47" s="32" t="s">
        <v>92</v>
      </c>
      <c r="QDW47" s="8" t="s">
        <v>132</v>
      </c>
      <c r="QDX47" s="22" t="s">
        <v>46</v>
      </c>
      <c r="QDY47" s="8" t="s">
        <v>433</v>
      </c>
      <c r="QDZ47" s="32" t="s">
        <v>92</v>
      </c>
      <c r="QEA47" s="8" t="s">
        <v>132</v>
      </c>
      <c r="QEB47" s="22" t="s">
        <v>46</v>
      </c>
      <c r="QEC47" s="8" t="s">
        <v>433</v>
      </c>
      <c r="QED47" s="32" t="s">
        <v>92</v>
      </c>
      <c r="QEE47" s="8" t="s">
        <v>132</v>
      </c>
      <c r="QEF47" s="22" t="s">
        <v>46</v>
      </c>
      <c r="QEG47" s="8" t="s">
        <v>433</v>
      </c>
      <c r="QEH47" s="32" t="s">
        <v>92</v>
      </c>
      <c r="QEI47" s="8" t="s">
        <v>132</v>
      </c>
      <c r="QEJ47" s="22" t="s">
        <v>46</v>
      </c>
      <c r="QEK47" s="8" t="s">
        <v>433</v>
      </c>
      <c r="QEL47" s="32" t="s">
        <v>92</v>
      </c>
      <c r="QEM47" s="8" t="s">
        <v>132</v>
      </c>
      <c r="QEN47" s="22" t="s">
        <v>46</v>
      </c>
      <c r="QEO47" s="8" t="s">
        <v>433</v>
      </c>
      <c r="QEP47" s="32" t="s">
        <v>92</v>
      </c>
      <c r="QEQ47" s="8" t="s">
        <v>132</v>
      </c>
      <c r="QER47" s="22" t="s">
        <v>46</v>
      </c>
      <c r="QES47" s="8" t="s">
        <v>433</v>
      </c>
      <c r="QET47" s="32" t="s">
        <v>92</v>
      </c>
      <c r="QEU47" s="8" t="s">
        <v>132</v>
      </c>
      <c r="QEV47" s="22" t="s">
        <v>46</v>
      </c>
      <c r="QEW47" s="8" t="s">
        <v>433</v>
      </c>
      <c r="QEX47" s="32" t="s">
        <v>92</v>
      </c>
      <c r="QEY47" s="8" t="s">
        <v>132</v>
      </c>
      <c r="QEZ47" s="22" t="s">
        <v>46</v>
      </c>
      <c r="QFA47" s="8" t="s">
        <v>433</v>
      </c>
      <c r="QFB47" s="32" t="s">
        <v>92</v>
      </c>
      <c r="QFC47" s="8" t="s">
        <v>132</v>
      </c>
      <c r="QFD47" s="22" t="s">
        <v>46</v>
      </c>
      <c r="QFE47" s="8" t="s">
        <v>433</v>
      </c>
      <c r="QFF47" s="32" t="s">
        <v>92</v>
      </c>
      <c r="QFG47" s="8" t="s">
        <v>132</v>
      </c>
      <c r="QFH47" s="22" t="s">
        <v>46</v>
      </c>
      <c r="QFI47" s="8" t="s">
        <v>433</v>
      </c>
      <c r="QFJ47" s="32" t="s">
        <v>92</v>
      </c>
      <c r="QFK47" s="8" t="s">
        <v>132</v>
      </c>
      <c r="QFL47" s="22" t="s">
        <v>46</v>
      </c>
      <c r="QFM47" s="8" t="s">
        <v>433</v>
      </c>
      <c r="QFN47" s="32" t="s">
        <v>92</v>
      </c>
      <c r="QFO47" s="8" t="s">
        <v>132</v>
      </c>
      <c r="QFP47" s="22" t="s">
        <v>46</v>
      </c>
      <c r="QFQ47" s="8" t="s">
        <v>433</v>
      </c>
      <c r="QFR47" s="32" t="s">
        <v>92</v>
      </c>
      <c r="QFS47" s="8" t="s">
        <v>132</v>
      </c>
      <c r="QFT47" s="22" t="s">
        <v>46</v>
      </c>
      <c r="QFU47" s="8" t="s">
        <v>433</v>
      </c>
      <c r="QFV47" s="32" t="s">
        <v>92</v>
      </c>
      <c r="QFW47" s="8" t="s">
        <v>132</v>
      </c>
      <c r="QFX47" s="22" t="s">
        <v>46</v>
      </c>
      <c r="QFY47" s="8" t="s">
        <v>433</v>
      </c>
      <c r="QFZ47" s="32" t="s">
        <v>92</v>
      </c>
      <c r="QGA47" s="8" t="s">
        <v>132</v>
      </c>
      <c r="QGB47" s="22" t="s">
        <v>46</v>
      </c>
      <c r="QGC47" s="8" t="s">
        <v>433</v>
      </c>
      <c r="QGD47" s="32" t="s">
        <v>92</v>
      </c>
      <c r="QGE47" s="8" t="s">
        <v>132</v>
      </c>
      <c r="QGF47" s="22" t="s">
        <v>46</v>
      </c>
      <c r="QGG47" s="8" t="s">
        <v>433</v>
      </c>
      <c r="QGH47" s="32" t="s">
        <v>92</v>
      </c>
      <c r="QGI47" s="8" t="s">
        <v>132</v>
      </c>
      <c r="QGJ47" s="22" t="s">
        <v>46</v>
      </c>
      <c r="QGK47" s="8" t="s">
        <v>433</v>
      </c>
      <c r="QGL47" s="32" t="s">
        <v>92</v>
      </c>
      <c r="QGM47" s="8" t="s">
        <v>132</v>
      </c>
      <c r="QGN47" s="22" t="s">
        <v>46</v>
      </c>
      <c r="QGO47" s="8" t="s">
        <v>433</v>
      </c>
      <c r="QGP47" s="32" t="s">
        <v>92</v>
      </c>
      <c r="QGQ47" s="8" t="s">
        <v>132</v>
      </c>
      <c r="QGR47" s="22" t="s">
        <v>46</v>
      </c>
      <c r="QGS47" s="8" t="s">
        <v>433</v>
      </c>
      <c r="QGT47" s="32" t="s">
        <v>92</v>
      </c>
      <c r="QGU47" s="8" t="s">
        <v>132</v>
      </c>
      <c r="QGV47" s="22" t="s">
        <v>46</v>
      </c>
      <c r="QGW47" s="8" t="s">
        <v>433</v>
      </c>
      <c r="QGX47" s="32" t="s">
        <v>92</v>
      </c>
      <c r="QGY47" s="8" t="s">
        <v>132</v>
      </c>
      <c r="QGZ47" s="22" t="s">
        <v>46</v>
      </c>
      <c r="QHA47" s="8" t="s">
        <v>433</v>
      </c>
      <c r="QHB47" s="32" t="s">
        <v>92</v>
      </c>
      <c r="QHC47" s="8" t="s">
        <v>132</v>
      </c>
      <c r="QHD47" s="22" t="s">
        <v>46</v>
      </c>
      <c r="QHE47" s="8" t="s">
        <v>433</v>
      </c>
      <c r="QHF47" s="32" t="s">
        <v>92</v>
      </c>
      <c r="QHG47" s="8" t="s">
        <v>132</v>
      </c>
      <c r="QHH47" s="22" t="s">
        <v>46</v>
      </c>
      <c r="QHI47" s="8" t="s">
        <v>433</v>
      </c>
      <c r="QHJ47" s="32" t="s">
        <v>92</v>
      </c>
      <c r="QHK47" s="8" t="s">
        <v>132</v>
      </c>
      <c r="QHL47" s="22" t="s">
        <v>46</v>
      </c>
      <c r="QHM47" s="8" t="s">
        <v>433</v>
      </c>
      <c r="QHN47" s="32" t="s">
        <v>92</v>
      </c>
      <c r="QHO47" s="8" t="s">
        <v>132</v>
      </c>
      <c r="QHP47" s="22" t="s">
        <v>46</v>
      </c>
      <c r="QHQ47" s="8" t="s">
        <v>433</v>
      </c>
      <c r="QHR47" s="32" t="s">
        <v>92</v>
      </c>
      <c r="QHS47" s="8" t="s">
        <v>132</v>
      </c>
      <c r="QHT47" s="22" t="s">
        <v>46</v>
      </c>
      <c r="QHU47" s="8" t="s">
        <v>433</v>
      </c>
      <c r="QHV47" s="32" t="s">
        <v>92</v>
      </c>
      <c r="QHW47" s="8" t="s">
        <v>132</v>
      </c>
      <c r="QHX47" s="22" t="s">
        <v>46</v>
      </c>
      <c r="QHY47" s="8" t="s">
        <v>433</v>
      </c>
      <c r="QHZ47" s="32" t="s">
        <v>92</v>
      </c>
      <c r="QIA47" s="8" t="s">
        <v>132</v>
      </c>
      <c r="QIB47" s="22" t="s">
        <v>46</v>
      </c>
      <c r="QIC47" s="8" t="s">
        <v>433</v>
      </c>
      <c r="QID47" s="32" t="s">
        <v>92</v>
      </c>
      <c r="QIE47" s="8" t="s">
        <v>132</v>
      </c>
      <c r="QIF47" s="22" t="s">
        <v>46</v>
      </c>
      <c r="QIG47" s="8" t="s">
        <v>433</v>
      </c>
      <c r="QIH47" s="32" t="s">
        <v>92</v>
      </c>
      <c r="QII47" s="8" t="s">
        <v>132</v>
      </c>
      <c r="QIJ47" s="22" t="s">
        <v>46</v>
      </c>
      <c r="QIK47" s="8" t="s">
        <v>433</v>
      </c>
      <c r="QIL47" s="32" t="s">
        <v>92</v>
      </c>
      <c r="QIM47" s="8" t="s">
        <v>132</v>
      </c>
      <c r="QIN47" s="22" t="s">
        <v>46</v>
      </c>
      <c r="QIO47" s="8" t="s">
        <v>433</v>
      </c>
      <c r="QIP47" s="32" t="s">
        <v>92</v>
      </c>
      <c r="QIQ47" s="8" t="s">
        <v>132</v>
      </c>
      <c r="QIR47" s="22" t="s">
        <v>46</v>
      </c>
      <c r="QIS47" s="8" t="s">
        <v>433</v>
      </c>
      <c r="QIT47" s="32" t="s">
        <v>92</v>
      </c>
      <c r="QIU47" s="8" t="s">
        <v>132</v>
      </c>
      <c r="QIV47" s="22" t="s">
        <v>46</v>
      </c>
      <c r="QIW47" s="8" t="s">
        <v>433</v>
      </c>
      <c r="QIX47" s="32" t="s">
        <v>92</v>
      </c>
      <c r="QIY47" s="8" t="s">
        <v>132</v>
      </c>
      <c r="QIZ47" s="22" t="s">
        <v>46</v>
      </c>
      <c r="QJA47" s="8" t="s">
        <v>433</v>
      </c>
      <c r="QJB47" s="32" t="s">
        <v>92</v>
      </c>
      <c r="QJC47" s="8" t="s">
        <v>132</v>
      </c>
      <c r="QJD47" s="22" t="s">
        <v>46</v>
      </c>
      <c r="QJE47" s="8" t="s">
        <v>433</v>
      </c>
      <c r="QJF47" s="32" t="s">
        <v>92</v>
      </c>
      <c r="QJG47" s="8" t="s">
        <v>132</v>
      </c>
      <c r="QJH47" s="22" t="s">
        <v>46</v>
      </c>
      <c r="QJI47" s="8" t="s">
        <v>433</v>
      </c>
      <c r="QJJ47" s="32" t="s">
        <v>92</v>
      </c>
      <c r="QJK47" s="8" t="s">
        <v>132</v>
      </c>
      <c r="QJL47" s="22" t="s">
        <v>46</v>
      </c>
      <c r="QJM47" s="8" t="s">
        <v>433</v>
      </c>
      <c r="QJN47" s="32" t="s">
        <v>92</v>
      </c>
      <c r="QJO47" s="8" t="s">
        <v>132</v>
      </c>
      <c r="QJP47" s="22" t="s">
        <v>46</v>
      </c>
      <c r="QJQ47" s="8" t="s">
        <v>433</v>
      </c>
      <c r="QJR47" s="32" t="s">
        <v>92</v>
      </c>
      <c r="QJS47" s="8" t="s">
        <v>132</v>
      </c>
      <c r="QJT47" s="22" t="s">
        <v>46</v>
      </c>
      <c r="QJU47" s="8" t="s">
        <v>433</v>
      </c>
      <c r="QJV47" s="32" t="s">
        <v>92</v>
      </c>
      <c r="QJW47" s="8" t="s">
        <v>132</v>
      </c>
      <c r="QJX47" s="22" t="s">
        <v>46</v>
      </c>
      <c r="QJY47" s="8" t="s">
        <v>433</v>
      </c>
      <c r="QJZ47" s="32" t="s">
        <v>92</v>
      </c>
      <c r="QKA47" s="8" t="s">
        <v>132</v>
      </c>
      <c r="QKB47" s="22" t="s">
        <v>46</v>
      </c>
      <c r="QKC47" s="8" t="s">
        <v>433</v>
      </c>
      <c r="QKD47" s="32" t="s">
        <v>92</v>
      </c>
      <c r="QKE47" s="8" t="s">
        <v>132</v>
      </c>
      <c r="QKF47" s="22" t="s">
        <v>46</v>
      </c>
      <c r="QKG47" s="8" t="s">
        <v>433</v>
      </c>
      <c r="QKH47" s="32" t="s">
        <v>92</v>
      </c>
      <c r="QKI47" s="8" t="s">
        <v>132</v>
      </c>
      <c r="QKJ47" s="22" t="s">
        <v>46</v>
      </c>
      <c r="QKK47" s="8" t="s">
        <v>433</v>
      </c>
      <c r="QKL47" s="32" t="s">
        <v>92</v>
      </c>
      <c r="QKM47" s="8" t="s">
        <v>132</v>
      </c>
      <c r="QKN47" s="22" t="s">
        <v>46</v>
      </c>
      <c r="QKO47" s="8" t="s">
        <v>433</v>
      </c>
      <c r="QKP47" s="32" t="s">
        <v>92</v>
      </c>
      <c r="QKQ47" s="8" t="s">
        <v>132</v>
      </c>
      <c r="QKR47" s="22" t="s">
        <v>46</v>
      </c>
      <c r="QKS47" s="8" t="s">
        <v>433</v>
      </c>
      <c r="QKT47" s="32" t="s">
        <v>92</v>
      </c>
      <c r="QKU47" s="8" t="s">
        <v>132</v>
      </c>
      <c r="QKV47" s="22" t="s">
        <v>46</v>
      </c>
      <c r="QKW47" s="8" t="s">
        <v>433</v>
      </c>
      <c r="QKX47" s="32" t="s">
        <v>92</v>
      </c>
      <c r="QKY47" s="8" t="s">
        <v>132</v>
      </c>
      <c r="QKZ47" s="22" t="s">
        <v>46</v>
      </c>
      <c r="QLA47" s="8" t="s">
        <v>433</v>
      </c>
      <c r="QLB47" s="32" t="s">
        <v>92</v>
      </c>
      <c r="QLC47" s="8" t="s">
        <v>132</v>
      </c>
      <c r="QLD47" s="22" t="s">
        <v>46</v>
      </c>
      <c r="QLE47" s="8" t="s">
        <v>433</v>
      </c>
      <c r="QLF47" s="32" t="s">
        <v>92</v>
      </c>
      <c r="QLG47" s="8" t="s">
        <v>132</v>
      </c>
      <c r="QLH47" s="22" t="s">
        <v>46</v>
      </c>
      <c r="QLI47" s="8" t="s">
        <v>433</v>
      </c>
      <c r="QLJ47" s="32" t="s">
        <v>92</v>
      </c>
      <c r="QLK47" s="8" t="s">
        <v>132</v>
      </c>
      <c r="QLL47" s="22" t="s">
        <v>46</v>
      </c>
      <c r="QLM47" s="8" t="s">
        <v>433</v>
      </c>
      <c r="QLN47" s="32" t="s">
        <v>92</v>
      </c>
      <c r="QLO47" s="8" t="s">
        <v>132</v>
      </c>
      <c r="QLP47" s="22" t="s">
        <v>46</v>
      </c>
      <c r="QLQ47" s="8" t="s">
        <v>433</v>
      </c>
      <c r="QLR47" s="32" t="s">
        <v>92</v>
      </c>
      <c r="QLS47" s="8" t="s">
        <v>132</v>
      </c>
      <c r="QLT47" s="22" t="s">
        <v>46</v>
      </c>
      <c r="QLU47" s="8" t="s">
        <v>433</v>
      </c>
      <c r="QLV47" s="32" t="s">
        <v>92</v>
      </c>
      <c r="QLW47" s="8" t="s">
        <v>132</v>
      </c>
      <c r="QLX47" s="22" t="s">
        <v>46</v>
      </c>
      <c r="QLY47" s="8" t="s">
        <v>433</v>
      </c>
      <c r="QLZ47" s="32" t="s">
        <v>92</v>
      </c>
      <c r="QMA47" s="8" t="s">
        <v>132</v>
      </c>
      <c r="QMB47" s="22" t="s">
        <v>46</v>
      </c>
      <c r="QMC47" s="8" t="s">
        <v>433</v>
      </c>
      <c r="QMD47" s="32" t="s">
        <v>92</v>
      </c>
      <c r="QME47" s="8" t="s">
        <v>132</v>
      </c>
      <c r="QMF47" s="22" t="s">
        <v>46</v>
      </c>
      <c r="QMG47" s="8" t="s">
        <v>433</v>
      </c>
      <c r="QMH47" s="32" t="s">
        <v>92</v>
      </c>
      <c r="QMI47" s="8" t="s">
        <v>132</v>
      </c>
      <c r="QMJ47" s="22" t="s">
        <v>46</v>
      </c>
      <c r="QMK47" s="8" t="s">
        <v>433</v>
      </c>
      <c r="QML47" s="32" t="s">
        <v>92</v>
      </c>
      <c r="QMM47" s="8" t="s">
        <v>132</v>
      </c>
      <c r="QMN47" s="22" t="s">
        <v>46</v>
      </c>
      <c r="QMO47" s="8" t="s">
        <v>433</v>
      </c>
      <c r="QMP47" s="32" t="s">
        <v>92</v>
      </c>
      <c r="QMQ47" s="8" t="s">
        <v>132</v>
      </c>
      <c r="QMR47" s="22" t="s">
        <v>46</v>
      </c>
      <c r="QMS47" s="8" t="s">
        <v>433</v>
      </c>
      <c r="QMT47" s="32" t="s">
        <v>92</v>
      </c>
      <c r="QMU47" s="8" t="s">
        <v>132</v>
      </c>
      <c r="QMV47" s="22" t="s">
        <v>46</v>
      </c>
      <c r="QMW47" s="8" t="s">
        <v>433</v>
      </c>
      <c r="QMX47" s="32" t="s">
        <v>92</v>
      </c>
      <c r="QMY47" s="8" t="s">
        <v>132</v>
      </c>
      <c r="QMZ47" s="22" t="s">
        <v>46</v>
      </c>
      <c r="QNA47" s="8" t="s">
        <v>433</v>
      </c>
      <c r="QNB47" s="32" t="s">
        <v>92</v>
      </c>
      <c r="QNC47" s="8" t="s">
        <v>132</v>
      </c>
      <c r="QND47" s="22" t="s">
        <v>46</v>
      </c>
      <c r="QNE47" s="8" t="s">
        <v>433</v>
      </c>
      <c r="QNF47" s="32" t="s">
        <v>92</v>
      </c>
      <c r="QNG47" s="8" t="s">
        <v>132</v>
      </c>
      <c r="QNH47" s="22" t="s">
        <v>46</v>
      </c>
      <c r="QNI47" s="8" t="s">
        <v>433</v>
      </c>
      <c r="QNJ47" s="32" t="s">
        <v>92</v>
      </c>
      <c r="QNK47" s="8" t="s">
        <v>132</v>
      </c>
      <c r="QNL47" s="22" t="s">
        <v>46</v>
      </c>
      <c r="QNM47" s="8" t="s">
        <v>433</v>
      </c>
      <c r="QNN47" s="32" t="s">
        <v>92</v>
      </c>
      <c r="QNO47" s="8" t="s">
        <v>132</v>
      </c>
      <c r="QNP47" s="22" t="s">
        <v>46</v>
      </c>
      <c r="QNQ47" s="8" t="s">
        <v>433</v>
      </c>
      <c r="QNR47" s="32" t="s">
        <v>92</v>
      </c>
      <c r="QNS47" s="8" t="s">
        <v>132</v>
      </c>
      <c r="QNT47" s="22" t="s">
        <v>46</v>
      </c>
      <c r="QNU47" s="8" t="s">
        <v>433</v>
      </c>
      <c r="QNV47" s="32" t="s">
        <v>92</v>
      </c>
      <c r="QNW47" s="8" t="s">
        <v>132</v>
      </c>
      <c r="QNX47" s="22" t="s">
        <v>46</v>
      </c>
      <c r="QNY47" s="8" t="s">
        <v>433</v>
      </c>
      <c r="QNZ47" s="32" t="s">
        <v>92</v>
      </c>
      <c r="QOA47" s="8" t="s">
        <v>132</v>
      </c>
      <c r="QOB47" s="22" t="s">
        <v>46</v>
      </c>
      <c r="QOC47" s="8" t="s">
        <v>433</v>
      </c>
      <c r="QOD47" s="32" t="s">
        <v>92</v>
      </c>
      <c r="QOE47" s="8" t="s">
        <v>132</v>
      </c>
      <c r="QOF47" s="22" t="s">
        <v>46</v>
      </c>
      <c r="QOG47" s="8" t="s">
        <v>433</v>
      </c>
      <c r="QOH47" s="32" t="s">
        <v>92</v>
      </c>
      <c r="QOI47" s="8" t="s">
        <v>132</v>
      </c>
      <c r="QOJ47" s="22" t="s">
        <v>46</v>
      </c>
      <c r="QOK47" s="8" t="s">
        <v>433</v>
      </c>
      <c r="QOL47" s="32" t="s">
        <v>92</v>
      </c>
      <c r="QOM47" s="8" t="s">
        <v>132</v>
      </c>
      <c r="QON47" s="22" t="s">
        <v>46</v>
      </c>
      <c r="QOO47" s="8" t="s">
        <v>433</v>
      </c>
      <c r="QOP47" s="32" t="s">
        <v>92</v>
      </c>
      <c r="QOQ47" s="8" t="s">
        <v>132</v>
      </c>
      <c r="QOR47" s="22" t="s">
        <v>46</v>
      </c>
      <c r="QOS47" s="8" t="s">
        <v>433</v>
      </c>
      <c r="QOT47" s="32" t="s">
        <v>92</v>
      </c>
      <c r="QOU47" s="8" t="s">
        <v>132</v>
      </c>
      <c r="QOV47" s="22" t="s">
        <v>46</v>
      </c>
      <c r="QOW47" s="8" t="s">
        <v>433</v>
      </c>
      <c r="QOX47" s="32" t="s">
        <v>92</v>
      </c>
      <c r="QOY47" s="8" t="s">
        <v>132</v>
      </c>
      <c r="QOZ47" s="22" t="s">
        <v>46</v>
      </c>
      <c r="QPA47" s="8" t="s">
        <v>433</v>
      </c>
      <c r="QPB47" s="32" t="s">
        <v>92</v>
      </c>
      <c r="QPC47" s="8" t="s">
        <v>132</v>
      </c>
      <c r="QPD47" s="22" t="s">
        <v>46</v>
      </c>
      <c r="QPE47" s="8" t="s">
        <v>433</v>
      </c>
      <c r="QPF47" s="32" t="s">
        <v>92</v>
      </c>
      <c r="QPG47" s="8" t="s">
        <v>132</v>
      </c>
      <c r="QPH47" s="22" t="s">
        <v>46</v>
      </c>
      <c r="QPI47" s="8" t="s">
        <v>433</v>
      </c>
      <c r="QPJ47" s="32" t="s">
        <v>92</v>
      </c>
      <c r="QPK47" s="8" t="s">
        <v>132</v>
      </c>
      <c r="QPL47" s="22" t="s">
        <v>46</v>
      </c>
      <c r="QPM47" s="8" t="s">
        <v>433</v>
      </c>
      <c r="QPN47" s="32" t="s">
        <v>92</v>
      </c>
      <c r="QPO47" s="8" t="s">
        <v>132</v>
      </c>
      <c r="QPP47" s="22" t="s">
        <v>46</v>
      </c>
      <c r="QPQ47" s="8" t="s">
        <v>433</v>
      </c>
      <c r="QPR47" s="32" t="s">
        <v>92</v>
      </c>
      <c r="QPS47" s="8" t="s">
        <v>132</v>
      </c>
      <c r="QPT47" s="22" t="s">
        <v>46</v>
      </c>
      <c r="QPU47" s="8" t="s">
        <v>433</v>
      </c>
      <c r="QPV47" s="32" t="s">
        <v>92</v>
      </c>
      <c r="QPW47" s="8" t="s">
        <v>132</v>
      </c>
      <c r="QPX47" s="22" t="s">
        <v>46</v>
      </c>
      <c r="QPY47" s="8" t="s">
        <v>433</v>
      </c>
      <c r="QPZ47" s="32" t="s">
        <v>92</v>
      </c>
      <c r="QQA47" s="8" t="s">
        <v>132</v>
      </c>
      <c r="QQB47" s="22" t="s">
        <v>46</v>
      </c>
      <c r="QQC47" s="8" t="s">
        <v>433</v>
      </c>
      <c r="QQD47" s="32" t="s">
        <v>92</v>
      </c>
      <c r="QQE47" s="8" t="s">
        <v>132</v>
      </c>
      <c r="QQF47" s="22" t="s">
        <v>46</v>
      </c>
      <c r="QQG47" s="8" t="s">
        <v>433</v>
      </c>
      <c r="QQH47" s="32" t="s">
        <v>92</v>
      </c>
      <c r="QQI47" s="8" t="s">
        <v>132</v>
      </c>
      <c r="QQJ47" s="22" t="s">
        <v>46</v>
      </c>
      <c r="QQK47" s="8" t="s">
        <v>433</v>
      </c>
      <c r="QQL47" s="32" t="s">
        <v>92</v>
      </c>
      <c r="QQM47" s="8" t="s">
        <v>132</v>
      </c>
      <c r="QQN47" s="22" t="s">
        <v>46</v>
      </c>
      <c r="QQO47" s="8" t="s">
        <v>433</v>
      </c>
      <c r="QQP47" s="32" t="s">
        <v>92</v>
      </c>
      <c r="QQQ47" s="8" t="s">
        <v>132</v>
      </c>
      <c r="QQR47" s="22" t="s">
        <v>46</v>
      </c>
      <c r="QQS47" s="8" t="s">
        <v>433</v>
      </c>
      <c r="QQT47" s="32" t="s">
        <v>92</v>
      </c>
      <c r="QQU47" s="8" t="s">
        <v>132</v>
      </c>
      <c r="QQV47" s="22" t="s">
        <v>46</v>
      </c>
      <c r="QQW47" s="8" t="s">
        <v>433</v>
      </c>
      <c r="QQX47" s="32" t="s">
        <v>92</v>
      </c>
      <c r="QQY47" s="8" t="s">
        <v>132</v>
      </c>
      <c r="QQZ47" s="22" t="s">
        <v>46</v>
      </c>
      <c r="QRA47" s="8" t="s">
        <v>433</v>
      </c>
      <c r="QRB47" s="32" t="s">
        <v>92</v>
      </c>
      <c r="QRC47" s="8" t="s">
        <v>132</v>
      </c>
      <c r="QRD47" s="22" t="s">
        <v>46</v>
      </c>
      <c r="QRE47" s="8" t="s">
        <v>433</v>
      </c>
      <c r="QRF47" s="32" t="s">
        <v>92</v>
      </c>
      <c r="QRG47" s="8" t="s">
        <v>132</v>
      </c>
      <c r="QRH47" s="22" t="s">
        <v>46</v>
      </c>
      <c r="QRI47" s="8" t="s">
        <v>433</v>
      </c>
      <c r="QRJ47" s="32" t="s">
        <v>92</v>
      </c>
      <c r="QRK47" s="8" t="s">
        <v>132</v>
      </c>
      <c r="QRL47" s="22" t="s">
        <v>46</v>
      </c>
      <c r="QRM47" s="8" t="s">
        <v>433</v>
      </c>
      <c r="QRN47" s="32" t="s">
        <v>92</v>
      </c>
      <c r="QRO47" s="8" t="s">
        <v>132</v>
      </c>
      <c r="QRP47" s="22" t="s">
        <v>46</v>
      </c>
      <c r="QRQ47" s="8" t="s">
        <v>433</v>
      </c>
      <c r="QRR47" s="32" t="s">
        <v>92</v>
      </c>
      <c r="QRS47" s="8" t="s">
        <v>132</v>
      </c>
      <c r="QRT47" s="22" t="s">
        <v>46</v>
      </c>
      <c r="QRU47" s="8" t="s">
        <v>433</v>
      </c>
      <c r="QRV47" s="32" t="s">
        <v>92</v>
      </c>
      <c r="QRW47" s="8" t="s">
        <v>132</v>
      </c>
      <c r="QRX47" s="22" t="s">
        <v>46</v>
      </c>
      <c r="QRY47" s="8" t="s">
        <v>433</v>
      </c>
      <c r="QRZ47" s="32" t="s">
        <v>92</v>
      </c>
      <c r="QSA47" s="8" t="s">
        <v>132</v>
      </c>
      <c r="QSB47" s="22" t="s">
        <v>46</v>
      </c>
      <c r="QSC47" s="8" t="s">
        <v>433</v>
      </c>
      <c r="QSD47" s="32" t="s">
        <v>92</v>
      </c>
      <c r="QSE47" s="8" t="s">
        <v>132</v>
      </c>
      <c r="QSF47" s="22" t="s">
        <v>46</v>
      </c>
      <c r="QSG47" s="8" t="s">
        <v>433</v>
      </c>
      <c r="QSH47" s="32" t="s">
        <v>92</v>
      </c>
      <c r="QSI47" s="8" t="s">
        <v>132</v>
      </c>
      <c r="QSJ47" s="22" t="s">
        <v>46</v>
      </c>
      <c r="QSK47" s="8" t="s">
        <v>433</v>
      </c>
      <c r="QSL47" s="32" t="s">
        <v>92</v>
      </c>
      <c r="QSM47" s="8" t="s">
        <v>132</v>
      </c>
      <c r="QSN47" s="22" t="s">
        <v>46</v>
      </c>
      <c r="QSO47" s="8" t="s">
        <v>433</v>
      </c>
      <c r="QSP47" s="32" t="s">
        <v>92</v>
      </c>
      <c r="QSQ47" s="8" t="s">
        <v>132</v>
      </c>
      <c r="QSR47" s="22" t="s">
        <v>46</v>
      </c>
      <c r="QSS47" s="8" t="s">
        <v>433</v>
      </c>
      <c r="QST47" s="32" t="s">
        <v>92</v>
      </c>
      <c r="QSU47" s="8" t="s">
        <v>132</v>
      </c>
      <c r="QSV47" s="22" t="s">
        <v>46</v>
      </c>
      <c r="QSW47" s="8" t="s">
        <v>433</v>
      </c>
      <c r="QSX47" s="32" t="s">
        <v>92</v>
      </c>
      <c r="QSY47" s="8" t="s">
        <v>132</v>
      </c>
      <c r="QSZ47" s="22" t="s">
        <v>46</v>
      </c>
      <c r="QTA47" s="8" t="s">
        <v>433</v>
      </c>
      <c r="QTB47" s="32" t="s">
        <v>92</v>
      </c>
      <c r="QTC47" s="8" t="s">
        <v>132</v>
      </c>
      <c r="QTD47" s="22" t="s">
        <v>46</v>
      </c>
      <c r="QTE47" s="8" t="s">
        <v>433</v>
      </c>
      <c r="QTF47" s="32" t="s">
        <v>92</v>
      </c>
      <c r="QTG47" s="8" t="s">
        <v>132</v>
      </c>
      <c r="QTH47" s="22" t="s">
        <v>46</v>
      </c>
      <c r="QTI47" s="8" t="s">
        <v>433</v>
      </c>
      <c r="QTJ47" s="32" t="s">
        <v>92</v>
      </c>
      <c r="QTK47" s="8" t="s">
        <v>132</v>
      </c>
      <c r="QTL47" s="22" t="s">
        <v>46</v>
      </c>
      <c r="QTM47" s="8" t="s">
        <v>433</v>
      </c>
      <c r="QTN47" s="32" t="s">
        <v>92</v>
      </c>
      <c r="QTO47" s="8" t="s">
        <v>132</v>
      </c>
      <c r="QTP47" s="22" t="s">
        <v>46</v>
      </c>
      <c r="QTQ47" s="8" t="s">
        <v>433</v>
      </c>
      <c r="QTR47" s="32" t="s">
        <v>92</v>
      </c>
      <c r="QTS47" s="8" t="s">
        <v>132</v>
      </c>
      <c r="QTT47" s="22" t="s">
        <v>46</v>
      </c>
      <c r="QTU47" s="8" t="s">
        <v>433</v>
      </c>
      <c r="QTV47" s="32" t="s">
        <v>92</v>
      </c>
      <c r="QTW47" s="8" t="s">
        <v>132</v>
      </c>
      <c r="QTX47" s="22" t="s">
        <v>46</v>
      </c>
      <c r="QTY47" s="8" t="s">
        <v>433</v>
      </c>
      <c r="QTZ47" s="32" t="s">
        <v>92</v>
      </c>
      <c r="QUA47" s="8" t="s">
        <v>132</v>
      </c>
      <c r="QUB47" s="22" t="s">
        <v>46</v>
      </c>
      <c r="QUC47" s="8" t="s">
        <v>433</v>
      </c>
      <c r="QUD47" s="32" t="s">
        <v>92</v>
      </c>
      <c r="QUE47" s="8" t="s">
        <v>132</v>
      </c>
      <c r="QUF47" s="22" t="s">
        <v>46</v>
      </c>
      <c r="QUG47" s="8" t="s">
        <v>433</v>
      </c>
      <c r="QUH47" s="32" t="s">
        <v>92</v>
      </c>
      <c r="QUI47" s="8" t="s">
        <v>132</v>
      </c>
      <c r="QUJ47" s="22" t="s">
        <v>46</v>
      </c>
      <c r="QUK47" s="8" t="s">
        <v>433</v>
      </c>
      <c r="QUL47" s="32" t="s">
        <v>92</v>
      </c>
      <c r="QUM47" s="8" t="s">
        <v>132</v>
      </c>
      <c r="QUN47" s="22" t="s">
        <v>46</v>
      </c>
      <c r="QUO47" s="8" t="s">
        <v>433</v>
      </c>
      <c r="QUP47" s="32" t="s">
        <v>92</v>
      </c>
      <c r="QUQ47" s="8" t="s">
        <v>132</v>
      </c>
      <c r="QUR47" s="22" t="s">
        <v>46</v>
      </c>
      <c r="QUS47" s="8" t="s">
        <v>433</v>
      </c>
      <c r="QUT47" s="32" t="s">
        <v>92</v>
      </c>
      <c r="QUU47" s="8" t="s">
        <v>132</v>
      </c>
      <c r="QUV47" s="22" t="s">
        <v>46</v>
      </c>
      <c r="QUW47" s="8" t="s">
        <v>433</v>
      </c>
      <c r="QUX47" s="32" t="s">
        <v>92</v>
      </c>
      <c r="QUY47" s="8" t="s">
        <v>132</v>
      </c>
      <c r="QUZ47" s="22" t="s">
        <v>46</v>
      </c>
      <c r="QVA47" s="8" t="s">
        <v>433</v>
      </c>
      <c r="QVB47" s="32" t="s">
        <v>92</v>
      </c>
      <c r="QVC47" s="8" t="s">
        <v>132</v>
      </c>
      <c r="QVD47" s="22" t="s">
        <v>46</v>
      </c>
      <c r="QVE47" s="8" t="s">
        <v>433</v>
      </c>
      <c r="QVF47" s="32" t="s">
        <v>92</v>
      </c>
      <c r="QVG47" s="8" t="s">
        <v>132</v>
      </c>
      <c r="QVH47" s="22" t="s">
        <v>46</v>
      </c>
      <c r="QVI47" s="8" t="s">
        <v>433</v>
      </c>
      <c r="QVJ47" s="32" t="s">
        <v>92</v>
      </c>
      <c r="QVK47" s="8" t="s">
        <v>132</v>
      </c>
      <c r="QVL47" s="22" t="s">
        <v>46</v>
      </c>
      <c r="QVM47" s="8" t="s">
        <v>433</v>
      </c>
      <c r="QVN47" s="32" t="s">
        <v>92</v>
      </c>
      <c r="QVO47" s="8" t="s">
        <v>132</v>
      </c>
      <c r="QVP47" s="22" t="s">
        <v>46</v>
      </c>
      <c r="QVQ47" s="8" t="s">
        <v>433</v>
      </c>
      <c r="QVR47" s="32" t="s">
        <v>92</v>
      </c>
      <c r="QVS47" s="8" t="s">
        <v>132</v>
      </c>
      <c r="QVT47" s="22" t="s">
        <v>46</v>
      </c>
      <c r="QVU47" s="8" t="s">
        <v>433</v>
      </c>
      <c r="QVV47" s="32" t="s">
        <v>92</v>
      </c>
      <c r="QVW47" s="8" t="s">
        <v>132</v>
      </c>
      <c r="QVX47" s="22" t="s">
        <v>46</v>
      </c>
      <c r="QVY47" s="8" t="s">
        <v>433</v>
      </c>
      <c r="QVZ47" s="32" t="s">
        <v>92</v>
      </c>
      <c r="QWA47" s="8" t="s">
        <v>132</v>
      </c>
      <c r="QWB47" s="22" t="s">
        <v>46</v>
      </c>
      <c r="QWC47" s="8" t="s">
        <v>433</v>
      </c>
      <c r="QWD47" s="32" t="s">
        <v>92</v>
      </c>
      <c r="QWE47" s="8" t="s">
        <v>132</v>
      </c>
      <c r="QWF47" s="22" t="s">
        <v>46</v>
      </c>
      <c r="QWG47" s="8" t="s">
        <v>433</v>
      </c>
      <c r="QWH47" s="32" t="s">
        <v>92</v>
      </c>
      <c r="QWI47" s="8" t="s">
        <v>132</v>
      </c>
      <c r="QWJ47" s="22" t="s">
        <v>46</v>
      </c>
      <c r="QWK47" s="8" t="s">
        <v>433</v>
      </c>
      <c r="QWL47" s="32" t="s">
        <v>92</v>
      </c>
      <c r="QWM47" s="8" t="s">
        <v>132</v>
      </c>
      <c r="QWN47" s="22" t="s">
        <v>46</v>
      </c>
      <c r="QWO47" s="8" t="s">
        <v>433</v>
      </c>
      <c r="QWP47" s="32" t="s">
        <v>92</v>
      </c>
      <c r="QWQ47" s="8" t="s">
        <v>132</v>
      </c>
      <c r="QWR47" s="22" t="s">
        <v>46</v>
      </c>
      <c r="QWS47" s="8" t="s">
        <v>433</v>
      </c>
      <c r="QWT47" s="32" t="s">
        <v>92</v>
      </c>
      <c r="QWU47" s="8" t="s">
        <v>132</v>
      </c>
      <c r="QWV47" s="22" t="s">
        <v>46</v>
      </c>
      <c r="QWW47" s="8" t="s">
        <v>433</v>
      </c>
      <c r="QWX47" s="32" t="s">
        <v>92</v>
      </c>
      <c r="QWY47" s="8" t="s">
        <v>132</v>
      </c>
      <c r="QWZ47" s="22" t="s">
        <v>46</v>
      </c>
      <c r="QXA47" s="8" t="s">
        <v>433</v>
      </c>
      <c r="QXB47" s="32" t="s">
        <v>92</v>
      </c>
      <c r="QXC47" s="8" t="s">
        <v>132</v>
      </c>
      <c r="QXD47" s="22" t="s">
        <v>46</v>
      </c>
      <c r="QXE47" s="8" t="s">
        <v>433</v>
      </c>
      <c r="QXF47" s="32" t="s">
        <v>92</v>
      </c>
      <c r="QXG47" s="8" t="s">
        <v>132</v>
      </c>
      <c r="QXH47" s="22" t="s">
        <v>46</v>
      </c>
      <c r="QXI47" s="8" t="s">
        <v>433</v>
      </c>
      <c r="QXJ47" s="32" t="s">
        <v>92</v>
      </c>
      <c r="QXK47" s="8" t="s">
        <v>132</v>
      </c>
      <c r="QXL47" s="22" t="s">
        <v>46</v>
      </c>
      <c r="QXM47" s="8" t="s">
        <v>433</v>
      </c>
      <c r="QXN47" s="32" t="s">
        <v>92</v>
      </c>
      <c r="QXO47" s="8" t="s">
        <v>132</v>
      </c>
      <c r="QXP47" s="22" t="s">
        <v>46</v>
      </c>
      <c r="QXQ47" s="8" t="s">
        <v>433</v>
      </c>
      <c r="QXR47" s="32" t="s">
        <v>92</v>
      </c>
      <c r="QXS47" s="8" t="s">
        <v>132</v>
      </c>
      <c r="QXT47" s="22" t="s">
        <v>46</v>
      </c>
      <c r="QXU47" s="8" t="s">
        <v>433</v>
      </c>
      <c r="QXV47" s="32" t="s">
        <v>92</v>
      </c>
      <c r="QXW47" s="8" t="s">
        <v>132</v>
      </c>
      <c r="QXX47" s="22" t="s">
        <v>46</v>
      </c>
      <c r="QXY47" s="8" t="s">
        <v>433</v>
      </c>
      <c r="QXZ47" s="32" t="s">
        <v>92</v>
      </c>
      <c r="QYA47" s="8" t="s">
        <v>132</v>
      </c>
      <c r="QYB47" s="22" t="s">
        <v>46</v>
      </c>
      <c r="QYC47" s="8" t="s">
        <v>433</v>
      </c>
      <c r="QYD47" s="32" t="s">
        <v>92</v>
      </c>
      <c r="QYE47" s="8" t="s">
        <v>132</v>
      </c>
      <c r="QYF47" s="22" t="s">
        <v>46</v>
      </c>
      <c r="QYG47" s="8" t="s">
        <v>433</v>
      </c>
      <c r="QYH47" s="32" t="s">
        <v>92</v>
      </c>
      <c r="QYI47" s="8" t="s">
        <v>132</v>
      </c>
      <c r="QYJ47" s="22" t="s">
        <v>46</v>
      </c>
      <c r="QYK47" s="8" t="s">
        <v>433</v>
      </c>
      <c r="QYL47" s="32" t="s">
        <v>92</v>
      </c>
      <c r="QYM47" s="8" t="s">
        <v>132</v>
      </c>
      <c r="QYN47" s="22" t="s">
        <v>46</v>
      </c>
      <c r="QYO47" s="8" t="s">
        <v>433</v>
      </c>
      <c r="QYP47" s="32" t="s">
        <v>92</v>
      </c>
      <c r="QYQ47" s="8" t="s">
        <v>132</v>
      </c>
      <c r="QYR47" s="22" t="s">
        <v>46</v>
      </c>
      <c r="QYS47" s="8" t="s">
        <v>433</v>
      </c>
      <c r="QYT47" s="32" t="s">
        <v>92</v>
      </c>
      <c r="QYU47" s="8" t="s">
        <v>132</v>
      </c>
      <c r="QYV47" s="22" t="s">
        <v>46</v>
      </c>
      <c r="QYW47" s="8" t="s">
        <v>433</v>
      </c>
      <c r="QYX47" s="32" t="s">
        <v>92</v>
      </c>
      <c r="QYY47" s="8" t="s">
        <v>132</v>
      </c>
      <c r="QYZ47" s="22" t="s">
        <v>46</v>
      </c>
      <c r="QZA47" s="8" t="s">
        <v>433</v>
      </c>
      <c r="QZB47" s="32" t="s">
        <v>92</v>
      </c>
      <c r="QZC47" s="8" t="s">
        <v>132</v>
      </c>
      <c r="QZD47" s="22" t="s">
        <v>46</v>
      </c>
      <c r="QZE47" s="8" t="s">
        <v>433</v>
      </c>
      <c r="QZF47" s="32" t="s">
        <v>92</v>
      </c>
      <c r="QZG47" s="8" t="s">
        <v>132</v>
      </c>
      <c r="QZH47" s="22" t="s">
        <v>46</v>
      </c>
      <c r="QZI47" s="8" t="s">
        <v>433</v>
      </c>
      <c r="QZJ47" s="32" t="s">
        <v>92</v>
      </c>
      <c r="QZK47" s="8" t="s">
        <v>132</v>
      </c>
      <c r="QZL47" s="22" t="s">
        <v>46</v>
      </c>
      <c r="QZM47" s="8" t="s">
        <v>433</v>
      </c>
      <c r="QZN47" s="32" t="s">
        <v>92</v>
      </c>
      <c r="QZO47" s="8" t="s">
        <v>132</v>
      </c>
      <c r="QZP47" s="22" t="s">
        <v>46</v>
      </c>
      <c r="QZQ47" s="8" t="s">
        <v>433</v>
      </c>
      <c r="QZR47" s="32" t="s">
        <v>92</v>
      </c>
      <c r="QZS47" s="8" t="s">
        <v>132</v>
      </c>
      <c r="QZT47" s="22" t="s">
        <v>46</v>
      </c>
      <c r="QZU47" s="8" t="s">
        <v>433</v>
      </c>
      <c r="QZV47" s="32" t="s">
        <v>92</v>
      </c>
      <c r="QZW47" s="8" t="s">
        <v>132</v>
      </c>
      <c r="QZX47" s="22" t="s">
        <v>46</v>
      </c>
      <c r="QZY47" s="8" t="s">
        <v>433</v>
      </c>
      <c r="QZZ47" s="32" t="s">
        <v>92</v>
      </c>
      <c r="RAA47" s="8" t="s">
        <v>132</v>
      </c>
      <c r="RAB47" s="22" t="s">
        <v>46</v>
      </c>
      <c r="RAC47" s="8" t="s">
        <v>433</v>
      </c>
      <c r="RAD47" s="32" t="s">
        <v>92</v>
      </c>
      <c r="RAE47" s="8" t="s">
        <v>132</v>
      </c>
      <c r="RAF47" s="22" t="s">
        <v>46</v>
      </c>
      <c r="RAG47" s="8" t="s">
        <v>433</v>
      </c>
      <c r="RAH47" s="32" t="s">
        <v>92</v>
      </c>
      <c r="RAI47" s="8" t="s">
        <v>132</v>
      </c>
      <c r="RAJ47" s="22" t="s">
        <v>46</v>
      </c>
      <c r="RAK47" s="8" t="s">
        <v>433</v>
      </c>
      <c r="RAL47" s="32" t="s">
        <v>92</v>
      </c>
      <c r="RAM47" s="8" t="s">
        <v>132</v>
      </c>
      <c r="RAN47" s="22" t="s">
        <v>46</v>
      </c>
      <c r="RAO47" s="8" t="s">
        <v>433</v>
      </c>
      <c r="RAP47" s="32" t="s">
        <v>92</v>
      </c>
      <c r="RAQ47" s="8" t="s">
        <v>132</v>
      </c>
      <c r="RAR47" s="22" t="s">
        <v>46</v>
      </c>
      <c r="RAS47" s="8" t="s">
        <v>433</v>
      </c>
      <c r="RAT47" s="32" t="s">
        <v>92</v>
      </c>
      <c r="RAU47" s="8" t="s">
        <v>132</v>
      </c>
      <c r="RAV47" s="22" t="s">
        <v>46</v>
      </c>
      <c r="RAW47" s="8" t="s">
        <v>433</v>
      </c>
      <c r="RAX47" s="32" t="s">
        <v>92</v>
      </c>
      <c r="RAY47" s="8" t="s">
        <v>132</v>
      </c>
      <c r="RAZ47" s="22" t="s">
        <v>46</v>
      </c>
      <c r="RBA47" s="8" t="s">
        <v>433</v>
      </c>
      <c r="RBB47" s="32" t="s">
        <v>92</v>
      </c>
      <c r="RBC47" s="8" t="s">
        <v>132</v>
      </c>
      <c r="RBD47" s="22" t="s">
        <v>46</v>
      </c>
      <c r="RBE47" s="8" t="s">
        <v>433</v>
      </c>
      <c r="RBF47" s="32" t="s">
        <v>92</v>
      </c>
      <c r="RBG47" s="8" t="s">
        <v>132</v>
      </c>
      <c r="RBH47" s="22" t="s">
        <v>46</v>
      </c>
      <c r="RBI47" s="8" t="s">
        <v>433</v>
      </c>
      <c r="RBJ47" s="32" t="s">
        <v>92</v>
      </c>
      <c r="RBK47" s="8" t="s">
        <v>132</v>
      </c>
      <c r="RBL47" s="22" t="s">
        <v>46</v>
      </c>
      <c r="RBM47" s="8" t="s">
        <v>433</v>
      </c>
      <c r="RBN47" s="32" t="s">
        <v>92</v>
      </c>
      <c r="RBO47" s="8" t="s">
        <v>132</v>
      </c>
      <c r="RBP47" s="22" t="s">
        <v>46</v>
      </c>
      <c r="RBQ47" s="8" t="s">
        <v>433</v>
      </c>
      <c r="RBR47" s="32" t="s">
        <v>92</v>
      </c>
      <c r="RBS47" s="8" t="s">
        <v>132</v>
      </c>
      <c r="RBT47" s="22" t="s">
        <v>46</v>
      </c>
      <c r="RBU47" s="8" t="s">
        <v>433</v>
      </c>
      <c r="RBV47" s="32" t="s">
        <v>92</v>
      </c>
      <c r="RBW47" s="8" t="s">
        <v>132</v>
      </c>
      <c r="RBX47" s="22" t="s">
        <v>46</v>
      </c>
      <c r="RBY47" s="8" t="s">
        <v>433</v>
      </c>
      <c r="RBZ47" s="32" t="s">
        <v>92</v>
      </c>
      <c r="RCA47" s="8" t="s">
        <v>132</v>
      </c>
      <c r="RCB47" s="22" t="s">
        <v>46</v>
      </c>
      <c r="RCC47" s="8" t="s">
        <v>433</v>
      </c>
      <c r="RCD47" s="32" t="s">
        <v>92</v>
      </c>
      <c r="RCE47" s="8" t="s">
        <v>132</v>
      </c>
      <c r="RCF47" s="22" t="s">
        <v>46</v>
      </c>
      <c r="RCG47" s="8" t="s">
        <v>433</v>
      </c>
      <c r="RCH47" s="32" t="s">
        <v>92</v>
      </c>
      <c r="RCI47" s="8" t="s">
        <v>132</v>
      </c>
      <c r="RCJ47" s="22" t="s">
        <v>46</v>
      </c>
      <c r="RCK47" s="8" t="s">
        <v>433</v>
      </c>
      <c r="RCL47" s="32" t="s">
        <v>92</v>
      </c>
      <c r="RCM47" s="8" t="s">
        <v>132</v>
      </c>
      <c r="RCN47" s="22" t="s">
        <v>46</v>
      </c>
      <c r="RCO47" s="8" t="s">
        <v>433</v>
      </c>
      <c r="RCP47" s="32" t="s">
        <v>92</v>
      </c>
      <c r="RCQ47" s="8" t="s">
        <v>132</v>
      </c>
      <c r="RCR47" s="22" t="s">
        <v>46</v>
      </c>
      <c r="RCS47" s="8" t="s">
        <v>433</v>
      </c>
      <c r="RCT47" s="32" t="s">
        <v>92</v>
      </c>
      <c r="RCU47" s="8" t="s">
        <v>132</v>
      </c>
      <c r="RCV47" s="22" t="s">
        <v>46</v>
      </c>
      <c r="RCW47" s="8" t="s">
        <v>433</v>
      </c>
      <c r="RCX47" s="32" t="s">
        <v>92</v>
      </c>
      <c r="RCY47" s="8" t="s">
        <v>132</v>
      </c>
      <c r="RCZ47" s="22" t="s">
        <v>46</v>
      </c>
      <c r="RDA47" s="8" t="s">
        <v>433</v>
      </c>
      <c r="RDB47" s="32" t="s">
        <v>92</v>
      </c>
      <c r="RDC47" s="8" t="s">
        <v>132</v>
      </c>
      <c r="RDD47" s="22" t="s">
        <v>46</v>
      </c>
      <c r="RDE47" s="8" t="s">
        <v>433</v>
      </c>
      <c r="RDF47" s="32" t="s">
        <v>92</v>
      </c>
      <c r="RDG47" s="8" t="s">
        <v>132</v>
      </c>
      <c r="RDH47" s="22" t="s">
        <v>46</v>
      </c>
      <c r="RDI47" s="8" t="s">
        <v>433</v>
      </c>
      <c r="RDJ47" s="32" t="s">
        <v>92</v>
      </c>
      <c r="RDK47" s="8" t="s">
        <v>132</v>
      </c>
      <c r="RDL47" s="22" t="s">
        <v>46</v>
      </c>
      <c r="RDM47" s="8" t="s">
        <v>433</v>
      </c>
      <c r="RDN47" s="32" t="s">
        <v>92</v>
      </c>
      <c r="RDO47" s="8" t="s">
        <v>132</v>
      </c>
      <c r="RDP47" s="22" t="s">
        <v>46</v>
      </c>
      <c r="RDQ47" s="8" t="s">
        <v>433</v>
      </c>
      <c r="RDR47" s="32" t="s">
        <v>92</v>
      </c>
      <c r="RDS47" s="8" t="s">
        <v>132</v>
      </c>
      <c r="RDT47" s="22" t="s">
        <v>46</v>
      </c>
      <c r="RDU47" s="8" t="s">
        <v>433</v>
      </c>
      <c r="RDV47" s="32" t="s">
        <v>92</v>
      </c>
      <c r="RDW47" s="8" t="s">
        <v>132</v>
      </c>
      <c r="RDX47" s="22" t="s">
        <v>46</v>
      </c>
      <c r="RDY47" s="8" t="s">
        <v>433</v>
      </c>
      <c r="RDZ47" s="32" t="s">
        <v>92</v>
      </c>
      <c r="REA47" s="8" t="s">
        <v>132</v>
      </c>
      <c r="REB47" s="22" t="s">
        <v>46</v>
      </c>
      <c r="REC47" s="8" t="s">
        <v>433</v>
      </c>
      <c r="RED47" s="32" t="s">
        <v>92</v>
      </c>
      <c r="REE47" s="8" t="s">
        <v>132</v>
      </c>
      <c r="REF47" s="22" t="s">
        <v>46</v>
      </c>
      <c r="REG47" s="8" t="s">
        <v>433</v>
      </c>
      <c r="REH47" s="32" t="s">
        <v>92</v>
      </c>
      <c r="REI47" s="8" t="s">
        <v>132</v>
      </c>
      <c r="REJ47" s="22" t="s">
        <v>46</v>
      </c>
      <c r="REK47" s="8" t="s">
        <v>433</v>
      </c>
      <c r="REL47" s="32" t="s">
        <v>92</v>
      </c>
      <c r="REM47" s="8" t="s">
        <v>132</v>
      </c>
      <c r="REN47" s="22" t="s">
        <v>46</v>
      </c>
      <c r="REO47" s="8" t="s">
        <v>433</v>
      </c>
      <c r="REP47" s="32" t="s">
        <v>92</v>
      </c>
      <c r="REQ47" s="8" t="s">
        <v>132</v>
      </c>
      <c r="RER47" s="22" t="s">
        <v>46</v>
      </c>
      <c r="RES47" s="8" t="s">
        <v>433</v>
      </c>
      <c r="RET47" s="32" t="s">
        <v>92</v>
      </c>
      <c r="REU47" s="8" t="s">
        <v>132</v>
      </c>
      <c r="REV47" s="22" t="s">
        <v>46</v>
      </c>
      <c r="REW47" s="8" t="s">
        <v>433</v>
      </c>
      <c r="REX47" s="32" t="s">
        <v>92</v>
      </c>
      <c r="REY47" s="8" t="s">
        <v>132</v>
      </c>
      <c r="REZ47" s="22" t="s">
        <v>46</v>
      </c>
      <c r="RFA47" s="8" t="s">
        <v>433</v>
      </c>
      <c r="RFB47" s="32" t="s">
        <v>92</v>
      </c>
      <c r="RFC47" s="8" t="s">
        <v>132</v>
      </c>
      <c r="RFD47" s="22" t="s">
        <v>46</v>
      </c>
      <c r="RFE47" s="8" t="s">
        <v>433</v>
      </c>
      <c r="RFF47" s="32" t="s">
        <v>92</v>
      </c>
      <c r="RFG47" s="8" t="s">
        <v>132</v>
      </c>
      <c r="RFH47" s="22" t="s">
        <v>46</v>
      </c>
      <c r="RFI47" s="8" t="s">
        <v>433</v>
      </c>
      <c r="RFJ47" s="32" t="s">
        <v>92</v>
      </c>
      <c r="RFK47" s="8" t="s">
        <v>132</v>
      </c>
      <c r="RFL47" s="22" t="s">
        <v>46</v>
      </c>
      <c r="RFM47" s="8" t="s">
        <v>433</v>
      </c>
      <c r="RFN47" s="32" t="s">
        <v>92</v>
      </c>
      <c r="RFO47" s="8" t="s">
        <v>132</v>
      </c>
      <c r="RFP47" s="22" t="s">
        <v>46</v>
      </c>
      <c r="RFQ47" s="8" t="s">
        <v>433</v>
      </c>
      <c r="RFR47" s="32" t="s">
        <v>92</v>
      </c>
      <c r="RFS47" s="8" t="s">
        <v>132</v>
      </c>
      <c r="RFT47" s="22" t="s">
        <v>46</v>
      </c>
      <c r="RFU47" s="8" t="s">
        <v>433</v>
      </c>
      <c r="RFV47" s="32" t="s">
        <v>92</v>
      </c>
      <c r="RFW47" s="8" t="s">
        <v>132</v>
      </c>
      <c r="RFX47" s="22" t="s">
        <v>46</v>
      </c>
      <c r="RFY47" s="8" t="s">
        <v>433</v>
      </c>
      <c r="RFZ47" s="32" t="s">
        <v>92</v>
      </c>
      <c r="RGA47" s="8" t="s">
        <v>132</v>
      </c>
      <c r="RGB47" s="22" t="s">
        <v>46</v>
      </c>
      <c r="RGC47" s="8" t="s">
        <v>433</v>
      </c>
      <c r="RGD47" s="32" t="s">
        <v>92</v>
      </c>
      <c r="RGE47" s="8" t="s">
        <v>132</v>
      </c>
      <c r="RGF47" s="22" t="s">
        <v>46</v>
      </c>
      <c r="RGG47" s="8" t="s">
        <v>433</v>
      </c>
      <c r="RGH47" s="32" t="s">
        <v>92</v>
      </c>
      <c r="RGI47" s="8" t="s">
        <v>132</v>
      </c>
      <c r="RGJ47" s="22" t="s">
        <v>46</v>
      </c>
      <c r="RGK47" s="8" t="s">
        <v>433</v>
      </c>
      <c r="RGL47" s="32" t="s">
        <v>92</v>
      </c>
      <c r="RGM47" s="8" t="s">
        <v>132</v>
      </c>
      <c r="RGN47" s="22" t="s">
        <v>46</v>
      </c>
      <c r="RGO47" s="8" t="s">
        <v>433</v>
      </c>
      <c r="RGP47" s="32" t="s">
        <v>92</v>
      </c>
      <c r="RGQ47" s="8" t="s">
        <v>132</v>
      </c>
      <c r="RGR47" s="22" t="s">
        <v>46</v>
      </c>
      <c r="RGS47" s="8" t="s">
        <v>433</v>
      </c>
      <c r="RGT47" s="32" t="s">
        <v>92</v>
      </c>
      <c r="RGU47" s="8" t="s">
        <v>132</v>
      </c>
      <c r="RGV47" s="22" t="s">
        <v>46</v>
      </c>
      <c r="RGW47" s="8" t="s">
        <v>433</v>
      </c>
      <c r="RGX47" s="32" t="s">
        <v>92</v>
      </c>
      <c r="RGY47" s="8" t="s">
        <v>132</v>
      </c>
      <c r="RGZ47" s="22" t="s">
        <v>46</v>
      </c>
      <c r="RHA47" s="8" t="s">
        <v>433</v>
      </c>
      <c r="RHB47" s="32" t="s">
        <v>92</v>
      </c>
      <c r="RHC47" s="8" t="s">
        <v>132</v>
      </c>
      <c r="RHD47" s="22" t="s">
        <v>46</v>
      </c>
      <c r="RHE47" s="8" t="s">
        <v>433</v>
      </c>
      <c r="RHF47" s="32" t="s">
        <v>92</v>
      </c>
      <c r="RHG47" s="8" t="s">
        <v>132</v>
      </c>
      <c r="RHH47" s="22" t="s">
        <v>46</v>
      </c>
      <c r="RHI47" s="8" t="s">
        <v>433</v>
      </c>
      <c r="RHJ47" s="32" t="s">
        <v>92</v>
      </c>
      <c r="RHK47" s="8" t="s">
        <v>132</v>
      </c>
      <c r="RHL47" s="22" t="s">
        <v>46</v>
      </c>
      <c r="RHM47" s="8" t="s">
        <v>433</v>
      </c>
      <c r="RHN47" s="32" t="s">
        <v>92</v>
      </c>
      <c r="RHO47" s="8" t="s">
        <v>132</v>
      </c>
      <c r="RHP47" s="22" t="s">
        <v>46</v>
      </c>
      <c r="RHQ47" s="8" t="s">
        <v>433</v>
      </c>
      <c r="RHR47" s="32" t="s">
        <v>92</v>
      </c>
      <c r="RHS47" s="8" t="s">
        <v>132</v>
      </c>
      <c r="RHT47" s="22" t="s">
        <v>46</v>
      </c>
      <c r="RHU47" s="8" t="s">
        <v>433</v>
      </c>
      <c r="RHV47" s="32" t="s">
        <v>92</v>
      </c>
      <c r="RHW47" s="8" t="s">
        <v>132</v>
      </c>
      <c r="RHX47" s="22" t="s">
        <v>46</v>
      </c>
      <c r="RHY47" s="8" t="s">
        <v>433</v>
      </c>
      <c r="RHZ47" s="32" t="s">
        <v>92</v>
      </c>
      <c r="RIA47" s="8" t="s">
        <v>132</v>
      </c>
      <c r="RIB47" s="22" t="s">
        <v>46</v>
      </c>
      <c r="RIC47" s="8" t="s">
        <v>433</v>
      </c>
      <c r="RID47" s="32" t="s">
        <v>92</v>
      </c>
      <c r="RIE47" s="8" t="s">
        <v>132</v>
      </c>
      <c r="RIF47" s="22" t="s">
        <v>46</v>
      </c>
      <c r="RIG47" s="8" t="s">
        <v>433</v>
      </c>
      <c r="RIH47" s="32" t="s">
        <v>92</v>
      </c>
      <c r="RII47" s="8" t="s">
        <v>132</v>
      </c>
      <c r="RIJ47" s="22" t="s">
        <v>46</v>
      </c>
      <c r="RIK47" s="8" t="s">
        <v>433</v>
      </c>
      <c r="RIL47" s="32" t="s">
        <v>92</v>
      </c>
      <c r="RIM47" s="8" t="s">
        <v>132</v>
      </c>
      <c r="RIN47" s="22" t="s">
        <v>46</v>
      </c>
      <c r="RIO47" s="8" t="s">
        <v>433</v>
      </c>
      <c r="RIP47" s="32" t="s">
        <v>92</v>
      </c>
      <c r="RIQ47" s="8" t="s">
        <v>132</v>
      </c>
      <c r="RIR47" s="22" t="s">
        <v>46</v>
      </c>
      <c r="RIS47" s="8" t="s">
        <v>433</v>
      </c>
      <c r="RIT47" s="32" t="s">
        <v>92</v>
      </c>
      <c r="RIU47" s="8" t="s">
        <v>132</v>
      </c>
      <c r="RIV47" s="22" t="s">
        <v>46</v>
      </c>
      <c r="RIW47" s="8" t="s">
        <v>433</v>
      </c>
      <c r="RIX47" s="32" t="s">
        <v>92</v>
      </c>
      <c r="RIY47" s="8" t="s">
        <v>132</v>
      </c>
      <c r="RIZ47" s="22" t="s">
        <v>46</v>
      </c>
      <c r="RJA47" s="8" t="s">
        <v>433</v>
      </c>
      <c r="RJB47" s="32" t="s">
        <v>92</v>
      </c>
      <c r="RJC47" s="8" t="s">
        <v>132</v>
      </c>
      <c r="RJD47" s="22" t="s">
        <v>46</v>
      </c>
      <c r="RJE47" s="8" t="s">
        <v>433</v>
      </c>
      <c r="RJF47" s="32" t="s">
        <v>92</v>
      </c>
      <c r="RJG47" s="8" t="s">
        <v>132</v>
      </c>
      <c r="RJH47" s="22" t="s">
        <v>46</v>
      </c>
      <c r="RJI47" s="8" t="s">
        <v>433</v>
      </c>
      <c r="RJJ47" s="32" t="s">
        <v>92</v>
      </c>
      <c r="RJK47" s="8" t="s">
        <v>132</v>
      </c>
      <c r="RJL47" s="22" t="s">
        <v>46</v>
      </c>
      <c r="RJM47" s="8" t="s">
        <v>433</v>
      </c>
      <c r="RJN47" s="32" t="s">
        <v>92</v>
      </c>
      <c r="RJO47" s="8" t="s">
        <v>132</v>
      </c>
      <c r="RJP47" s="22" t="s">
        <v>46</v>
      </c>
      <c r="RJQ47" s="8" t="s">
        <v>433</v>
      </c>
      <c r="RJR47" s="32" t="s">
        <v>92</v>
      </c>
      <c r="RJS47" s="8" t="s">
        <v>132</v>
      </c>
      <c r="RJT47" s="22" t="s">
        <v>46</v>
      </c>
      <c r="RJU47" s="8" t="s">
        <v>433</v>
      </c>
      <c r="RJV47" s="32" t="s">
        <v>92</v>
      </c>
      <c r="RJW47" s="8" t="s">
        <v>132</v>
      </c>
      <c r="RJX47" s="22" t="s">
        <v>46</v>
      </c>
      <c r="RJY47" s="8" t="s">
        <v>433</v>
      </c>
      <c r="RJZ47" s="32" t="s">
        <v>92</v>
      </c>
      <c r="RKA47" s="8" t="s">
        <v>132</v>
      </c>
      <c r="RKB47" s="22" t="s">
        <v>46</v>
      </c>
      <c r="RKC47" s="8" t="s">
        <v>433</v>
      </c>
      <c r="RKD47" s="32" t="s">
        <v>92</v>
      </c>
      <c r="RKE47" s="8" t="s">
        <v>132</v>
      </c>
      <c r="RKF47" s="22" t="s">
        <v>46</v>
      </c>
      <c r="RKG47" s="8" t="s">
        <v>433</v>
      </c>
      <c r="RKH47" s="32" t="s">
        <v>92</v>
      </c>
      <c r="RKI47" s="8" t="s">
        <v>132</v>
      </c>
      <c r="RKJ47" s="22" t="s">
        <v>46</v>
      </c>
      <c r="RKK47" s="8" t="s">
        <v>433</v>
      </c>
      <c r="RKL47" s="32" t="s">
        <v>92</v>
      </c>
      <c r="RKM47" s="8" t="s">
        <v>132</v>
      </c>
      <c r="RKN47" s="22" t="s">
        <v>46</v>
      </c>
      <c r="RKO47" s="8" t="s">
        <v>433</v>
      </c>
      <c r="RKP47" s="32" t="s">
        <v>92</v>
      </c>
      <c r="RKQ47" s="8" t="s">
        <v>132</v>
      </c>
      <c r="RKR47" s="22" t="s">
        <v>46</v>
      </c>
      <c r="RKS47" s="8" t="s">
        <v>433</v>
      </c>
      <c r="RKT47" s="32" t="s">
        <v>92</v>
      </c>
      <c r="RKU47" s="8" t="s">
        <v>132</v>
      </c>
      <c r="RKV47" s="22" t="s">
        <v>46</v>
      </c>
      <c r="RKW47" s="8" t="s">
        <v>433</v>
      </c>
      <c r="RKX47" s="32" t="s">
        <v>92</v>
      </c>
      <c r="RKY47" s="8" t="s">
        <v>132</v>
      </c>
      <c r="RKZ47" s="22" t="s">
        <v>46</v>
      </c>
      <c r="RLA47" s="8" t="s">
        <v>433</v>
      </c>
      <c r="RLB47" s="32" t="s">
        <v>92</v>
      </c>
      <c r="RLC47" s="8" t="s">
        <v>132</v>
      </c>
      <c r="RLD47" s="22" t="s">
        <v>46</v>
      </c>
      <c r="RLE47" s="8" t="s">
        <v>433</v>
      </c>
      <c r="RLF47" s="32" t="s">
        <v>92</v>
      </c>
      <c r="RLG47" s="8" t="s">
        <v>132</v>
      </c>
      <c r="RLH47" s="22" t="s">
        <v>46</v>
      </c>
      <c r="RLI47" s="8" t="s">
        <v>433</v>
      </c>
      <c r="RLJ47" s="32" t="s">
        <v>92</v>
      </c>
      <c r="RLK47" s="8" t="s">
        <v>132</v>
      </c>
      <c r="RLL47" s="22" t="s">
        <v>46</v>
      </c>
      <c r="RLM47" s="8" t="s">
        <v>433</v>
      </c>
      <c r="RLN47" s="32" t="s">
        <v>92</v>
      </c>
      <c r="RLO47" s="8" t="s">
        <v>132</v>
      </c>
      <c r="RLP47" s="22" t="s">
        <v>46</v>
      </c>
      <c r="RLQ47" s="8" t="s">
        <v>433</v>
      </c>
      <c r="RLR47" s="32" t="s">
        <v>92</v>
      </c>
      <c r="RLS47" s="8" t="s">
        <v>132</v>
      </c>
      <c r="RLT47" s="22" t="s">
        <v>46</v>
      </c>
      <c r="RLU47" s="8" t="s">
        <v>433</v>
      </c>
      <c r="RLV47" s="32" t="s">
        <v>92</v>
      </c>
      <c r="RLW47" s="8" t="s">
        <v>132</v>
      </c>
      <c r="RLX47" s="22" t="s">
        <v>46</v>
      </c>
      <c r="RLY47" s="8" t="s">
        <v>433</v>
      </c>
      <c r="RLZ47" s="32" t="s">
        <v>92</v>
      </c>
      <c r="RMA47" s="8" t="s">
        <v>132</v>
      </c>
      <c r="RMB47" s="22" t="s">
        <v>46</v>
      </c>
      <c r="RMC47" s="8" t="s">
        <v>433</v>
      </c>
      <c r="RMD47" s="32" t="s">
        <v>92</v>
      </c>
      <c r="RME47" s="8" t="s">
        <v>132</v>
      </c>
      <c r="RMF47" s="22" t="s">
        <v>46</v>
      </c>
      <c r="RMG47" s="8" t="s">
        <v>433</v>
      </c>
      <c r="RMH47" s="32" t="s">
        <v>92</v>
      </c>
      <c r="RMI47" s="8" t="s">
        <v>132</v>
      </c>
      <c r="RMJ47" s="22" t="s">
        <v>46</v>
      </c>
      <c r="RMK47" s="8" t="s">
        <v>433</v>
      </c>
      <c r="RML47" s="32" t="s">
        <v>92</v>
      </c>
      <c r="RMM47" s="8" t="s">
        <v>132</v>
      </c>
      <c r="RMN47" s="22" t="s">
        <v>46</v>
      </c>
      <c r="RMO47" s="8" t="s">
        <v>433</v>
      </c>
      <c r="RMP47" s="32" t="s">
        <v>92</v>
      </c>
      <c r="RMQ47" s="8" t="s">
        <v>132</v>
      </c>
      <c r="RMR47" s="22" t="s">
        <v>46</v>
      </c>
      <c r="RMS47" s="8" t="s">
        <v>433</v>
      </c>
      <c r="RMT47" s="32" t="s">
        <v>92</v>
      </c>
      <c r="RMU47" s="8" t="s">
        <v>132</v>
      </c>
      <c r="RMV47" s="22" t="s">
        <v>46</v>
      </c>
      <c r="RMW47" s="8" t="s">
        <v>433</v>
      </c>
      <c r="RMX47" s="32" t="s">
        <v>92</v>
      </c>
      <c r="RMY47" s="8" t="s">
        <v>132</v>
      </c>
      <c r="RMZ47" s="22" t="s">
        <v>46</v>
      </c>
      <c r="RNA47" s="8" t="s">
        <v>433</v>
      </c>
      <c r="RNB47" s="32" t="s">
        <v>92</v>
      </c>
      <c r="RNC47" s="8" t="s">
        <v>132</v>
      </c>
      <c r="RND47" s="22" t="s">
        <v>46</v>
      </c>
      <c r="RNE47" s="8" t="s">
        <v>433</v>
      </c>
      <c r="RNF47" s="32" t="s">
        <v>92</v>
      </c>
      <c r="RNG47" s="8" t="s">
        <v>132</v>
      </c>
      <c r="RNH47" s="22" t="s">
        <v>46</v>
      </c>
      <c r="RNI47" s="8" t="s">
        <v>433</v>
      </c>
      <c r="RNJ47" s="32" t="s">
        <v>92</v>
      </c>
      <c r="RNK47" s="8" t="s">
        <v>132</v>
      </c>
      <c r="RNL47" s="22" t="s">
        <v>46</v>
      </c>
      <c r="RNM47" s="8" t="s">
        <v>433</v>
      </c>
      <c r="RNN47" s="32" t="s">
        <v>92</v>
      </c>
      <c r="RNO47" s="8" t="s">
        <v>132</v>
      </c>
      <c r="RNP47" s="22" t="s">
        <v>46</v>
      </c>
      <c r="RNQ47" s="8" t="s">
        <v>433</v>
      </c>
      <c r="RNR47" s="32" t="s">
        <v>92</v>
      </c>
      <c r="RNS47" s="8" t="s">
        <v>132</v>
      </c>
      <c r="RNT47" s="22" t="s">
        <v>46</v>
      </c>
      <c r="RNU47" s="8" t="s">
        <v>433</v>
      </c>
      <c r="RNV47" s="32" t="s">
        <v>92</v>
      </c>
      <c r="RNW47" s="8" t="s">
        <v>132</v>
      </c>
      <c r="RNX47" s="22" t="s">
        <v>46</v>
      </c>
      <c r="RNY47" s="8" t="s">
        <v>433</v>
      </c>
      <c r="RNZ47" s="32" t="s">
        <v>92</v>
      </c>
      <c r="ROA47" s="8" t="s">
        <v>132</v>
      </c>
      <c r="ROB47" s="22" t="s">
        <v>46</v>
      </c>
      <c r="ROC47" s="8" t="s">
        <v>433</v>
      </c>
      <c r="ROD47" s="32" t="s">
        <v>92</v>
      </c>
      <c r="ROE47" s="8" t="s">
        <v>132</v>
      </c>
      <c r="ROF47" s="22" t="s">
        <v>46</v>
      </c>
      <c r="ROG47" s="8" t="s">
        <v>433</v>
      </c>
      <c r="ROH47" s="32" t="s">
        <v>92</v>
      </c>
      <c r="ROI47" s="8" t="s">
        <v>132</v>
      </c>
      <c r="ROJ47" s="22" t="s">
        <v>46</v>
      </c>
      <c r="ROK47" s="8" t="s">
        <v>433</v>
      </c>
      <c r="ROL47" s="32" t="s">
        <v>92</v>
      </c>
      <c r="ROM47" s="8" t="s">
        <v>132</v>
      </c>
      <c r="RON47" s="22" t="s">
        <v>46</v>
      </c>
      <c r="ROO47" s="8" t="s">
        <v>433</v>
      </c>
      <c r="ROP47" s="32" t="s">
        <v>92</v>
      </c>
      <c r="ROQ47" s="8" t="s">
        <v>132</v>
      </c>
      <c r="ROR47" s="22" t="s">
        <v>46</v>
      </c>
      <c r="ROS47" s="8" t="s">
        <v>433</v>
      </c>
      <c r="ROT47" s="32" t="s">
        <v>92</v>
      </c>
      <c r="ROU47" s="8" t="s">
        <v>132</v>
      </c>
      <c r="ROV47" s="22" t="s">
        <v>46</v>
      </c>
      <c r="ROW47" s="8" t="s">
        <v>433</v>
      </c>
      <c r="ROX47" s="32" t="s">
        <v>92</v>
      </c>
      <c r="ROY47" s="8" t="s">
        <v>132</v>
      </c>
      <c r="ROZ47" s="22" t="s">
        <v>46</v>
      </c>
      <c r="RPA47" s="8" t="s">
        <v>433</v>
      </c>
      <c r="RPB47" s="32" t="s">
        <v>92</v>
      </c>
      <c r="RPC47" s="8" t="s">
        <v>132</v>
      </c>
      <c r="RPD47" s="22" t="s">
        <v>46</v>
      </c>
      <c r="RPE47" s="8" t="s">
        <v>433</v>
      </c>
      <c r="RPF47" s="32" t="s">
        <v>92</v>
      </c>
      <c r="RPG47" s="8" t="s">
        <v>132</v>
      </c>
      <c r="RPH47" s="22" t="s">
        <v>46</v>
      </c>
      <c r="RPI47" s="8" t="s">
        <v>433</v>
      </c>
      <c r="RPJ47" s="32" t="s">
        <v>92</v>
      </c>
      <c r="RPK47" s="8" t="s">
        <v>132</v>
      </c>
      <c r="RPL47" s="22" t="s">
        <v>46</v>
      </c>
      <c r="RPM47" s="8" t="s">
        <v>433</v>
      </c>
      <c r="RPN47" s="32" t="s">
        <v>92</v>
      </c>
      <c r="RPO47" s="8" t="s">
        <v>132</v>
      </c>
      <c r="RPP47" s="22" t="s">
        <v>46</v>
      </c>
      <c r="RPQ47" s="8" t="s">
        <v>433</v>
      </c>
      <c r="RPR47" s="32" t="s">
        <v>92</v>
      </c>
      <c r="RPS47" s="8" t="s">
        <v>132</v>
      </c>
      <c r="RPT47" s="22" t="s">
        <v>46</v>
      </c>
      <c r="RPU47" s="8" t="s">
        <v>433</v>
      </c>
      <c r="RPV47" s="32" t="s">
        <v>92</v>
      </c>
      <c r="RPW47" s="8" t="s">
        <v>132</v>
      </c>
      <c r="RPX47" s="22" t="s">
        <v>46</v>
      </c>
      <c r="RPY47" s="8" t="s">
        <v>433</v>
      </c>
      <c r="RPZ47" s="32" t="s">
        <v>92</v>
      </c>
      <c r="RQA47" s="8" t="s">
        <v>132</v>
      </c>
      <c r="RQB47" s="22" t="s">
        <v>46</v>
      </c>
      <c r="RQC47" s="8" t="s">
        <v>433</v>
      </c>
      <c r="RQD47" s="32" t="s">
        <v>92</v>
      </c>
      <c r="RQE47" s="8" t="s">
        <v>132</v>
      </c>
      <c r="RQF47" s="22" t="s">
        <v>46</v>
      </c>
      <c r="RQG47" s="8" t="s">
        <v>433</v>
      </c>
      <c r="RQH47" s="32" t="s">
        <v>92</v>
      </c>
      <c r="RQI47" s="8" t="s">
        <v>132</v>
      </c>
      <c r="RQJ47" s="22" t="s">
        <v>46</v>
      </c>
      <c r="RQK47" s="8" t="s">
        <v>433</v>
      </c>
      <c r="RQL47" s="32" t="s">
        <v>92</v>
      </c>
      <c r="RQM47" s="8" t="s">
        <v>132</v>
      </c>
      <c r="RQN47" s="22" t="s">
        <v>46</v>
      </c>
      <c r="RQO47" s="8" t="s">
        <v>433</v>
      </c>
      <c r="RQP47" s="32" t="s">
        <v>92</v>
      </c>
      <c r="RQQ47" s="8" t="s">
        <v>132</v>
      </c>
      <c r="RQR47" s="22" t="s">
        <v>46</v>
      </c>
      <c r="RQS47" s="8" t="s">
        <v>433</v>
      </c>
      <c r="RQT47" s="32" t="s">
        <v>92</v>
      </c>
      <c r="RQU47" s="8" t="s">
        <v>132</v>
      </c>
      <c r="RQV47" s="22" t="s">
        <v>46</v>
      </c>
      <c r="RQW47" s="8" t="s">
        <v>433</v>
      </c>
      <c r="RQX47" s="32" t="s">
        <v>92</v>
      </c>
      <c r="RQY47" s="8" t="s">
        <v>132</v>
      </c>
      <c r="RQZ47" s="22" t="s">
        <v>46</v>
      </c>
      <c r="RRA47" s="8" t="s">
        <v>433</v>
      </c>
      <c r="RRB47" s="32" t="s">
        <v>92</v>
      </c>
      <c r="RRC47" s="8" t="s">
        <v>132</v>
      </c>
      <c r="RRD47" s="22" t="s">
        <v>46</v>
      </c>
      <c r="RRE47" s="8" t="s">
        <v>433</v>
      </c>
      <c r="RRF47" s="32" t="s">
        <v>92</v>
      </c>
      <c r="RRG47" s="8" t="s">
        <v>132</v>
      </c>
      <c r="RRH47" s="22" t="s">
        <v>46</v>
      </c>
      <c r="RRI47" s="8" t="s">
        <v>433</v>
      </c>
      <c r="RRJ47" s="32" t="s">
        <v>92</v>
      </c>
      <c r="RRK47" s="8" t="s">
        <v>132</v>
      </c>
      <c r="RRL47" s="22" t="s">
        <v>46</v>
      </c>
      <c r="RRM47" s="8" t="s">
        <v>433</v>
      </c>
      <c r="RRN47" s="32" t="s">
        <v>92</v>
      </c>
      <c r="RRO47" s="8" t="s">
        <v>132</v>
      </c>
      <c r="RRP47" s="22" t="s">
        <v>46</v>
      </c>
      <c r="RRQ47" s="8" t="s">
        <v>433</v>
      </c>
      <c r="RRR47" s="32" t="s">
        <v>92</v>
      </c>
      <c r="RRS47" s="8" t="s">
        <v>132</v>
      </c>
      <c r="RRT47" s="22" t="s">
        <v>46</v>
      </c>
      <c r="RRU47" s="8" t="s">
        <v>433</v>
      </c>
      <c r="RRV47" s="32" t="s">
        <v>92</v>
      </c>
      <c r="RRW47" s="8" t="s">
        <v>132</v>
      </c>
      <c r="RRX47" s="22" t="s">
        <v>46</v>
      </c>
      <c r="RRY47" s="8" t="s">
        <v>433</v>
      </c>
      <c r="RRZ47" s="32" t="s">
        <v>92</v>
      </c>
      <c r="RSA47" s="8" t="s">
        <v>132</v>
      </c>
      <c r="RSB47" s="22" t="s">
        <v>46</v>
      </c>
      <c r="RSC47" s="8" t="s">
        <v>433</v>
      </c>
      <c r="RSD47" s="32" t="s">
        <v>92</v>
      </c>
      <c r="RSE47" s="8" t="s">
        <v>132</v>
      </c>
      <c r="RSF47" s="22" t="s">
        <v>46</v>
      </c>
      <c r="RSG47" s="8" t="s">
        <v>433</v>
      </c>
      <c r="RSH47" s="32" t="s">
        <v>92</v>
      </c>
      <c r="RSI47" s="8" t="s">
        <v>132</v>
      </c>
      <c r="RSJ47" s="22" t="s">
        <v>46</v>
      </c>
      <c r="RSK47" s="8" t="s">
        <v>433</v>
      </c>
      <c r="RSL47" s="32" t="s">
        <v>92</v>
      </c>
      <c r="RSM47" s="8" t="s">
        <v>132</v>
      </c>
      <c r="RSN47" s="22" t="s">
        <v>46</v>
      </c>
      <c r="RSO47" s="8" t="s">
        <v>433</v>
      </c>
      <c r="RSP47" s="32" t="s">
        <v>92</v>
      </c>
      <c r="RSQ47" s="8" t="s">
        <v>132</v>
      </c>
      <c r="RSR47" s="22" t="s">
        <v>46</v>
      </c>
      <c r="RSS47" s="8" t="s">
        <v>433</v>
      </c>
      <c r="RST47" s="32" t="s">
        <v>92</v>
      </c>
      <c r="RSU47" s="8" t="s">
        <v>132</v>
      </c>
      <c r="RSV47" s="22" t="s">
        <v>46</v>
      </c>
      <c r="RSW47" s="8" t="s">
        <v>433</v>
      </c>
      <c r="RSX47" s="32" t="s">
        <v>92</v>
      </c>
      <c r="RSY47" s="8" t="s">
        <v>132</v>
      </c>
      <c r="RSZ47" s="22" t="s">
        <v>46</v>
      </c>
      <c r="RTA47" s="8" t="s">
        <v>433</v>
      </c>
      <c r="RTB47" s="32" t="s">
        <v>92</v>
      </c>
      <c r="RTC47" s="8" t="s">
        <v>132</v>
      </c>
      <c r="RTD47" s="22" t="s">
        <v>46</v>
      </c>
      <c r="RTE47" s="8" t="s">
        <v>433</v>
      </c>
      <c r="RTF47" s="32" t="s">
        <v>92</v>
      </c>
      <c r="RTG47" s="8" t="s">
        <v>132</v>
      </c>
      <c r="RTH47" s="22" t="s">
        <v>46</v>
      </c>
      <c r="RTI47" s="8" t="s">
        <v>433</v>
      </c>
      <c r="RTJ47" s="32" t="s">
        <v>92</v>
      </c>
      <c r="RTK47" s="8" t="s">
        <v>132</v>
      </c>
      <c r="RTL47" s="22" t="s">
        <v>46</v>
      </c>
      <c r="RTM47" s="8" t="s">
        <v>433</v>
      </c>
      <c r="RTN47" s="32" t="s">
        <v>92</v>
      </c>
      <c r="RTO47" s="8" t="s">
        <v>132</v>
      </c>
      <c r="RTP47" s="22" t="s">
        <v>46</v>
      </c>
      <c r="RTQ47" s="8" t="s">
        <v>433</v>
      </c>
      <c r="RTR47" s="32" t="s">
        <v>92</v>
      </c>
      <c r="RTS47" s="8" t="s">
        <v>132</v>
      </c>
      <c r="RTT47" s="22" t="s">
        <v>46</v>
      </c>
      <c r="RTU47" s="8" t="s">
        <v>433</v>
      </c>
      <c r="RTV47" s="32" t="s">
        <v>92</v>
      </c>
      <c r="RTW47" s="8" t="s">
        <v>132</v>
      </c>
      <c r="RTX47" s="22" t="s">
        <v>46</v>
      </c>
      <c r="RTY47" s="8" t="s">
        <v>433</v>
      </c>
      <c r="RTZ47" s="32" t="s">
        <v>92</v>
      </c>
      <c r="RUA47" s="8" t="s">
        <v>132</v>
      </c>
      <c r="RUB47" s="22" t="s">
        <v>46</v>
      </c>
      <c r="RUC47" s="8" t="s">
        <v>433</v>
      </c>
      <c r="RUD47" s="32" t="s">
        <v>92</v>
      </c>
      <c r="RUE47" s="8" t="s">
        <v>132</v>
      </c>
      <c r="RUF47" s="22" t="s">
        <v>46</v>
      </c>
      <c r="RUG47" s="8" t="s">
        <v>433</v>
      </c>
      <c r="RUH47" s="32" t="s">
        <v>92</v>
      </c>
      <c r="RUI47" s="8" t="s">
        <v>132</v>
      </c>
      <c r="RUJ47" s="22" t="s">
        <v>46</v>
      </c>
      <c r="RUK47" s="8" t="s">
        <v>433</v>
      </c>
      <c r="RUL47" s="32" t="s">
        <v>92</v>
      </c>
      <c r="RUM47" s="8" t="s">
        <v>132</v>
      </c>
      <c r="RUN47" s="22" t="s">
        <v>46</v>
      </c>
      <c r="RUO47" s="8" t="s">
        <v>433</v>
      </c>
      <c r="RUP47" s="32" t="s">
        <v>92</v>
      </c>
      <c r="RUQ47" s="8" t="s">
        <v>132</v>
      </c>
      <c r="RUR47" s="22" t="s">
        <v>46</v>
      </c>
      <c r="RUS47" s="8" t="s">
        <v>433</v>
      </c>
      <c r="RUT47" s="32" t="s">
        <v>92</v>
      </c>
      <c r="RUU47" s="8" t="s">
        <v>132</v>
      </c>
      <c r="RUV47" s="22" t="s">
        <v>46</v>
      </c>
      <c r="RUW47" s="8" t="s">
        <v>433</v>
      </c>
      <c r="RUX47" s="32" t="s">
        <v>92</v>
      </c>
      <c r="RUY47" s="8" t="s">
        <v>132</v>
      </c>
      <c r="RUZ47" s="22" t="s">
        <v>46</v>
      </c>
      <c r="RVA47" s="8" t="s">
        <v>433</v>
      </c>
      <c r="RVB47" s="32" t="s">
        <v>92</v>
      </c>
      <c r="RVC47" s="8" t="s">
        <v>132</v>
      </c>
      <c r="RVD47" s="22" t="s">
        <v>46</v>
      </c>
      <c r="RVE47" s="8" t="s">
        <v>433</v>
      </c>
      <c r="RVF47" s="32" t="s">
        <v>92</v>
      </c>
      <c r="RVG47" s="8" t="s">
        <v>132</v>
      </c>
      <c r="RVH47" s="22" t="s">
        <v>46</v>
      </c>
      <c r="RVI47" s="8" t="s">
        <v>433</v>
      </c>
      <c r="RVJ47" s="32" t="s">
        <v>92</v>
      </c>
      <c r="RVK47" s="8" t="s">
        <v>132</v>
      </c>
      <c r="RVL47" s="22" t="s">
        <v>46</v>
      </c>
      <c r="RVM47" s="8" t="s">
        <v>433</v>
      </c>
      <c r="RVN47" s="32" t="s">
        <v>92</v>
      </c>
      <c r="RVO47" s="8" t="s">
        <v>132</v>
      </c>
      <c r="RVP47" s="22" t="s">
        <v>46</v>
      </c>
      <c r="RVQ47" s="8" t="s">
        <v>433</v>
      </c>
      <c r="RVR47" s="32" t="s">
        <v>92</v>
      </c>
      <c r="RVS47" s="8" t="s">
        <v>132</v>
      </c>
      <c r="RVT47" s="22" t="s">
        <v>46</v>
      </c>
      <c r="RVU47" s="8" t="s">
        <v>433</v>
      </c>
      <c r="RVV47" s="32" t="s">
        <v>92</v>
      </c>
      <c r="RVW47" s="8" t="s">
        <v>132</v>
      </c>
      <c r="RVX47" s="22" t="s">
        <v>46</v>
      </c>
      <c r="RVY47" s="8" t="s">
        <v>433</v>
      </c>
      <c r="RVZ47" s="32" t="s">
        <v>92</v>
      </c>
      <c r="RWA47" s="8" t="s">
        <v>132</v>
      </c>
      <c r="RWB47" s="22" t="s">
        <v>46</v>
      </c>
      <c r="RWC47" s="8" t="s">
        <v>433</v>
      </c>
      <c r="RWD47" s="32" t="s">
        <v>92</v>
      </c>
      <c r="RWE47" s="8" t="s">
        <v>132</v>
      </c>
      <c r="RWF47" s="22" t="s">
        <v>46</v>
      </c>
      <c r="RWG47" s="8" t="s">
        <v>433</v>
      </c>
      <c r="RWH47" s="32" t="s">
        <v>92</v>
      </c>
      <c r="RWI47" s="8" t="s">
        <v>132</v>
      </c>
      <c r="RWJ47" s="22" t="s">
        <v>46</v>
      </c>
      <c r="RWK47" s="8" t="s">
        <v>433</v>
      </c>
      <c r="RWL47" s="32" t="s">
        <v>92</v>
      </c>
      <c r="RWM47" s="8" t="s">
        <v>132</v>
      </c>
      <c r="RWN47" s="22" t="s">
        <v>46</v>
      </c>
      <c r="RWO47" s="8" t="s">
        <v>433</v>
      </c>
      <c r="RWP47" s="32" t="s">
        <v>92</v>
      </c>
      <c r="RWQ47" s="8" t="s">
        <v>132</v>
      </c>
      <c r="RWR47" s="22" t="s">
        <v>46</v>
      </c>
      <c r="RWS47" s="8" t="s">
        <v>433</v>
      </c>
      <c r="RWT47" s="32" t="s">
        <v>92</v>
      </c>
      <c r="RWU47" s="8" t="s">
        <v>132</v>
      </c>
      <c r="RWV47" s="22" t="s">
        <v>46</v>
      </c>
      <c r="RWW47" s="8" t="s">
        <v>433</v>
      </c>
      <c r="RWX47" s="32" t="s">
        <v>92</v>
      </c>
      <c r="RWY47" s="8" t="s">
        <v>132</v>
      </c>
      <c r="RWZ47" s="22" t="s">
        <v>46</v>
      </c>
      <c r="RXA47" s="8" t="s">
        <v>433</v>
      </c>
      <c r="RXB47" s="32" t="s">
        <v>92</v>
      </c>
      <c r="RXC47" s="8" t="s">
        <v>132</v>
      </c>
      <c r="RXD47" s="22" t="s">
        <v>46</v>
      </c>
      <c r="RXE47" s="8" t="s">
        <v>433</v>
      </c>
      <c r="RXF47" s="32" t="s">
        <v>92</v>
      </c>
      <c r="RXG47" s="8" t="s">
        <v>132</v>
      </c>
      <c r="RXH47" s="22" t="s">
        <v>46</v>
      </c>
      <c r="RXI47" s="8" t="s">
        <v>433</v>
      </c>
      <c r="RXJ47" s="32" t="s">
        <v>92</v>
      </c>
      <c r="RXK47" s="8" t="s">
        <v>132</v>
      </c>
      <c r="RXL47" s="22" t="s">
        <v>46</v>
      </c>
      <c r="RXM47" s="8" t="s">
        <v>433</v>
      </c>
      <c r="RXN47" s="32" t="s">
        <v>92</v>
      </c>
      <c r="RXO47" s="8" t="s">
        <v>132</v>
      </c>
      <c r="RXP47" s="22" t="s">
        <v>46</v>
      </c>
      <c r="RXQ47" s="8" t="s">
        <v>433</v>
      </c>
      <c r="RXR47" s="32" t="s">
        <v>92</v>
      </c>
      <c r="RXS47" s="8" t="s">
        <v>132</v>
      </c>
      <c r="RXT47" s="22" t="s">
        <v>46</v>
      </c>
      <c r="RXU47" s="8" t="s">
        <v>433</v>
      </c>
      <c r="RXV47" s="32" t="s">
        <v>92</v>
      </c>
      <c r="RXW47" s="8" t="s">
        <v>132</v>
      </c>
      <c r="RXX47" s="22" t="s">
        <v>46</v>
      </c>
      <c r="RXY47" s="8" t="s">
        <v>433</v>
      </c>
      <c r="RXZ47" s="32" t="s">
        <v>92</v>
      </c>
      <c r="RYA47" s="8" t="s">
        <v>132</v>
      </c>
      <c r="RYB47" s="22" t="s">
        <v>46</v>
      </c>
      <c r="RYC47" s="8" t="s">
        <v>433</v>
      </c>
      <c r="RYD47" s="32" t="s">
        <v>92</v>
      </c>
      <c r="RYE47" s="8" t="s">
        <v>132</v>
      </c>
      <c r="RYF47" s="22" t="s">
        <v>46</v>
      </c>
      <c r="RYG47" s="8" t="s">
        <v>433</v>
      </c>
      <c r="RYH47" s="32" t="s">
        <v>92</v>
      </c>
      <c r="RYI47" s="8" t="s">
        <v>132</v>
      </c>
      <c r="RYJ47" s="22" t="s">
        <v>46</v>
      </c>
      <c r="RYK47" s="8" t="s">
        <v>433</v>
      </c>
      <c r="RYL47" s="32" t="s">
        <v>92</v>
      </c>
      <c r="RYM47" s="8" t="s">
        <v>132</v>
      </c>
      <c r="RYN47" s="22" t="s">
        <v>46</v>
      </c>
      <c r="RYO47" s="8" t="s">
        <v>433</v>
      </c>
      <c r="RYP47" s="32" t="s">
        <v>92</v>
      </c>
      <c r="RYQ47" s="8" t="s">
        <v>132</v>
      </c>
      <c r="RYR47" s="22" t="s">
        <v>46</v>
      </c>
      <c r="RYS47" s="8" t="s">
        <v>433</v>
      </c>
      <c r="RYT47" s="32" t="s">
        <v>92</v>
      </c>
      <c r="RYU47" s="8" t="s">
        <v>132</v>
      </c>
      <c r="RYV47" s="22" t="s">
        <v>46</v>
      </c>
      <c r="RYW47" s="8" t="s">
        <v>433</v>
      </c>
      <c r="RYX47" s="32" t="s">
        <v>92</v>
      </c>
      <c r="RYY47" s="8" t="s">
        <v>132</v>
      </c>
      <c r="RYZ47" s="22" t="s">
        <v>46</v>
      </c>
      <c r="RZA47" s="8" t="s">
        <v>433</v>
      </c>
      <c r="RZB47" s="32" t="s">
        <v>92</v>
      </c>
      <c r="RZC47" s="8" t="s">
        <v>132</v>
      </c>
      <c r="RZD47" s="22" t="s">
        <v>46</v>
      </c>
      <c r="RZE47" s="8" t="s">
        <v>433</v>
      </c>
      <c r="RZF47" s="32" t="s">
        <v>92</v>
      </c>
      <c r="RZG47" s="8" t="s">
        <v>132</v>
      </c>
      <c r="RZH47" s="22" t="s">
        <v>46</v>
      </c>
      <c r="RZI47" s="8" t="s">
        <v>433</v>
      </c>
      <c r="RZJ47" s="32" t="s">
        <v>92</v>
      </c>
      <c r="RZK47" s="8" t="s">
        <v>132</v>
      </c>
      <c r="RZL47" s="22" t="s">
        <v>46</v>
      </c>
      <c r="RZM47" s="8" t="s">
        <v>433</v>
      </c>
      <c r="RZN47" s="32" t="s">
        <v>92</v>
      </c>
      <c r="RZO47" s="8" t="s">
        <v>132</v>
      </c>
      <c r="RZP47" s="22" t="s">
        <v>46</v>
      </c>
      <c r="RZQ47" s="8" t="s">
        <v>433</v>
      </c>
      <c r="RZR47" s="32" t="s">
        <v>92</v>
      </c>
      <c r="RZS47" s="8" t="s">
        <v>132</v>
      </c>
      <c r="RZT47" s="22" t="s">
        <v>46</v>
      </c>
      <c r="RZU47" s="8" t="s">
        <v>433</v>
      </c>
      <c r="RZV47" s="32" t="s">
        <v>92</v>
      </c>
      <c r="RZW47" s="8" t="s">
        <v>132</v>
      </c>
      <c r="RZX47" s="22" t="s">
        <v>46</v>
      </c>
      <c r="RZY47" s="8" t="s">
        <v>433</v>
      </c>
      <c r="RZZ47" s="32" t="s">
        <v>92</v>
      </c>
      <c r="SAA47" s="8" t="s">
        <v>132</v>
      </c>
      <c r="SAB47" s="22" t="s">
        <v>46</v>
      </c>
      <c r="SAC47" s="8" t="s">
        <v>433</v>
      </c>
      <c r="SAD47" s="32" t="s">
        <v>92</v>
      </c>
      <c r="SAE47" s="8" t="s">
        <v>132</v>
      </c>
      <c r="SAF47" s="22" t="s">
        <v>46</v>
      </c>
      <c r="SAG47" s="8" t="s">
        <v>433</v>
      </c>
      <c r="SAH47" s="32" t="s">
        <v>92</v>
      </c>
      <c r="SAI47" s="8" t="s">
        <v>132</v>
      </c>
      <c r="SAJ47" s="22" t="s">
        <v>46</v>
      </c>
      <c r="SAK47" s="8" t="s">
        <v>433</v>
      </c>
      <c r="SAL47" s="32" t="s">
        <v>92</v>
      </c>
      <c r="SAM47" s="8" t="s">
        <v>132</v>
      </c>
      <c r="SAN47" s="22" t="s">
        <v>46</v>
      </c>
      <c r="SAO47" s="8" t="s">
        <v>433</v>
      </c>
      <c r="SAP47" s="32" t="s">
        <v>92</v>
      </c>
      <c r="SAQ47" s="8" t="s">
        <v>132</v>
      </c>
      <c r="SAR47" s="22" t="s">
        <v>46</v>
      </c>
      <c r="SAS47" s="8" t="s">
        <v>433</v>
      </c>
      <c r="SAT47" s="32" t="s">
        <v>92</v>
      </c>
      <c r="SAU47" s="8" t="s">
        <v>132</v>
      </c>
      <c r="SAV47" s="22" t="s">
        <v>46</v>
      </c>
      <c r="SAW47" s="8" t="s">
        <v>433</v>
      </c>
      <c r="SAX47" s="32" t="s">
        <v>92</v>
      </c>
      <c r="SAY47" s="8" t="s">
        <v>132</v>
      </c>
      <c r="SAZ47" s="22" t="s">
        <v>46</v>
      </c>
      <c r="SBA47" s="8" t="s">
        <v>433</v>
      </c>
      <c r="SBB47" s="32" t="s">
        <v>92</v>
      </c>
      <c r="SBC47" s="8" t="s">
        <v>132</v>
      </c>
      <c r="SBD47" s="22" t="s">
        <v>46</v>
      </c>
      <c r="SBE47" s="8" t="s">
        <v>433</v>
      </c>
      <c r="SBF47" s="32" t="s">
        <v>92</v>
      </c>
      <c r="SBG47" s="8" t="s">
        <v>132</v>
      </c>
      <c r="SBH47" s="22" t="s">
        <v>46</v>
      </c>
      <c r="SBI47" s="8" t="s">
        <v>433</v>
      </c>
      <c r="SBJ47" s="32" t="s">
        <v>92</v>
      </c>
      <c r="SBK47" s="8" t="s">
        <v>132</v>
      </c>
      <c r="SBL47" s="22" t="s">
        <v>46</v>
      </c>
      <c r="SBM47" s="8" t="s">
        <v>433</v>
      </c>
      <c r="SBN47" s="32" t="s">
        <v>92</v>
      </c>
      <c r="SBO47" s="8" t="s">
        <v>132</v>
      </c>
      <c r="SBP47" s="22" t="s">
        <v>46</v>
      </c>
      <c r="SBQ47" s="8" t="s">
        <v>433</v>
      </c>
      <c r="SBR47" s="32" t="s">
        <v>92</v>
      </c>
      <c r="SBS47" s="8" t="s">
        <v>132</v>
      </c>
      <c r="SBT47" s="22" t="s">
        <v>46</v>
      </c>
      <c r="SBU47" s="8" t="s">
        <v>433</v>
      </c>
      <c r="SBV47" s="32" t="s">
        <v>92</v>
      </c>
      <c r="SBW47" s="8" t="s">
        <v>132</v>
      </c>
      <c r="SBX47" s="22" t="s">
        <v>46</v>
      </c>
      <c r="SBY47" s="8" t="s">
        <v>433</v>
      </c>
      <c r="SBZ47" s="32" t="s">
        <v>92</v>
      </c>
      <c r="SCA47" s="8" t="s">
        <v>132</v>
      </c>
      <c r="SCB47" s="22" t="s">
        <v>46</v>
      </c>
      <c r="SCC47" s="8" t="s">
        <v>433</v>
      </c>
      <c r="SCD47" s="32" t="s">
        <v>92</v>
      </c>
      <c r="SCE47" s="8" t="s">
        <v>132</v>
      </c>
      <c r="SCF47" s="22" t="s">
        <v>46</v>
      </c>
      <c r="SCG47" s="8" t="s">
        <v>433</v>
      </c>
      <c r="SCH47" s="32" t="s">
        <v>92</v>
      </c>
      <c r="SCI47" s="8" t="s">
        <v>132</v>
      </c>
      <c r="SCJ47" s="22" t="s">
        <v>46</v>
      </c>
      <c r="SCK47" s="8" t="s">
        <v>433</v>
      </c>
      <c r="SCL47" s="32" t="s">
        <v>92</v>
      </c>
      <c r="SCM47" s="8" t="s">
        <v>132</v>
      </c>
      <c r="SCN47" s="22" t="s">
        <v>46</v>
      </c>
      <c r="SCO47" s="8" t="s">
        <v>433</v>
      </c>
      <c r="SCP47" s="32" t="s">
        <v>92</v>
      </c>
      <c r="SCQ47" s="8" t="s">
        <v>132</v>
      </c>
      <c r="SCR47" s="22" t="s">
        <v>46</v>
      </c>
      <c r="SCS47" s="8" t="s">
        <v>433</v>
      </c>
      <c r="SCT47" s="32" t="s">
        <v>92</v>
      </c>
      <c r="SCU47" s="8" t="s">
        <v>132</v>
      </c>
      <c r="SCV47" s="22" t="s">
        <v>46</v>
      </c>
      <c r="SCW47" s="8" t="s">
        <v>433</v>
      </c>
      <c r="SCX47" s="32" t="s">
        <v>92</v>
      </c>
      <c r="SCY47" s="8" t="s">
        <v>132</v>
      </c>
      <c r="SCZ47" s="22" t="s">
        <v>46</v>
      </c>
      <c r="SDA47" s="8" t="s">
        <v>433</v>
      </c>
      <c r="SDB47" s="32" t="s">
        <v>92</v>
      </c>
      <c r="SDC47" s="8" t="s">
        <v>132</v>
      </c>
      <c r="SDD47" s="22" t="s">
        <v>46</v>
      </c>
      <c r="SDE47" s="8" t="s">
        <v>433</v>
      </c>
      <c r="SDF47" s="32" t="s">
        <v>92</v>
      </c>
      <c r="SDG47" s="8" t="s">
        <v>132</v>
      </c>
      <c r="SDH47" s="22" t="s">
        <v>46</v>
      </c>
      <c r="SDI47" s="8" t="s">
        <v>433</v>
      </c>
      <c r="SDJ47" s="32" t="s">
        <v>92</v>
      </c>
      <c r="SDK47" s="8" t="s">
        <v>132</v>
      </c>
      <c r="SDL47" s="22" t="s">
        <v>46</v>
      </c>
      <c r="SDM47" s="8" t="s">
        <v>433</v>
      </c>
      <c r="SDN47" s="32" t="s">
        <v>92</v>
      </c>
      <c r="SDO47" s="8" t="s">
        <v>132</v>
      </c>
      <c r="SDP47" s="22" t="s">
        <v>46</v>
      </c>
      <c r="SDQ47" s="8" t="s">
        <v>433</v>
      </c>
      <c r="SDR47" s="32" t="s">
        <v>92</v>
      </c>
      <c r="SDS47" s="8" t="s">
        <v>132</v>
      </c>
      <c r="SDT47" s="22" t="s">
        <v>46</v>
      </c>
      <c r="SDU47" s="8" t="s">
        <v>433</v>
      </c>
      <c r="SDV47" s="32" t="s">
        <v>92</v>
      </c>
      <c r="SDW47" s="8" t="s">
        <v>132</v>
      </c>
      <c r="SDX47" s="22" t="s">
        <v>46</v>
      </c>
      <c r="SDY47" s="8" t="s">
        <v>433</v>
      </c>
      <c r="SDZ47" s="32" t="s">
        <v>92</v>
      </c>
      <c r="SEA47" s="8" t="s">
        <v>132</v>
      </c>
      <c r="SEB47" s="22" t="s">
        <v>46</v>
      </c>
      <c r="SEC47" s="8" t="s">
        <v>433</v>
      </c>
      <c r="SED47" s="32" t="s">
        <v>92</v>
      </c>
      <c r="SEE47" s="8" t="s">
        <v>132</v>
      </c>
      <c r="SEF47" s="22" t="s">
        <v>46</v>
      </c>
      <c r="SEG47" s="8" t="s">
        <v>433</v>
      </c>
      <c r="SEH47" s="32" t="s">
        <v>92</v>
      </c>
      <c r="SEI47" s="8" t="s">
        <v>132</v>
      </c>
      <c r="SEJ47" s="22" t="s">
        <v>46</v>
      </c>
      <c r="SEK47" s="8" t="s">
        <v>433</v>
      </c>
      <c r="SEL47" s="32" t="s">
        <v>92</v>
      </c>
      <c r="SEM47" s="8" t="s">
        <v>132</v>
      </c>
      <c r="SEN47" s="22" t="s">
        <v>46</v>
      </c>
      <c r="SEO47" s="8" t="s">
        <v>433</v>
      </c>
      <c r="SEP47" s="32" t="s">
        <v>92</v>
      </c>
      <c r="SEQ47" s="8" t="s">
        <v>132</v>
      </c>
      <c r="SER47" s="22" t="s">
        <v>46</v>
      </c>
      <c r="SES47" s="8" t="s">
        <v>433</v>
      </c>
      <c r="SET47" s="32" t="s">
        <v>92</v>
      </c>
      <c r="SEU47" s="8" t="s">
        <v>132</v>
      </c>
      <c r="SEV47" s="22" t="s">
        <v>46</v>
      </c>
      <c r="SEW47" s="8" t="s">
        <v>433</v>
      </c>
      <c r="SEX47" s="32" t="s">
        <v>92</v>
      </c>
      <c r="SEY47" s="8" t="s">
        <v>132</v>
      </c>
      <c r="SEZ47" s="22" t="s">
        <v>46</v>
      </c>
      <c r="SFA47" s="8" t="s">
        <v>433</v>
      </c>
      <c r="SFB47" s="32" t="s">
        <v>92</v>
      </c>
      <c r="SFC47" s="8" t="s">
        <v>132</v>
      </c>
      <c r="SFD47" s="22" t="s">
        <v>46</v>
      </c>
      <c r="SFE47" s="8" t="s">
        <v>433</v>
      </c>
      <c r="SFF47" s="32" t="s">
        <v>92</v>
      </c>
      <c r="SFG47" s="8" t="s">
        <v>132</v>
      </c>
      <c r="SFH47" s="22" t="s">
        <v>46</v>
      </c>
      <c r="SFI47" s="8" t="s">
        <v>433</v>
      </c>
      <c r="SFJ47" s="32" t="s">
        <v>92</v>
      </c>
      <c r="SFK47" s="8" t="s">
        <v>132</v>
      </c>
      <c r="SFL47" s="22" t="s">
        <v>46</v>
      </c>
      <c r="SFM47" s="8" t="s">
        <v>433</v>
      </c>
      <c r="SFN47" s="32" t="s">
        <v>92</v>
      </c>
      <c r="SFO47" s="8" t="s">
        <v>132</v>
      </c>
      <c r="SFP47" s="22" t="s">
        <v>46</v>
      </c>
      <c r="SFQ47" s="8" t="s">
        <v>433</v>
      </c>
      <c r="SFR47" s="32" t="s">
        <v>92</v>
      </c>
      <c r="SFS47" s="8" t="s">
        <v>132</v>
      </c>
      <c r="SFT47" s="22" t="s">
        <v>46</v>
      </c>
      <c r="SFU47" s="8" t="s">
        <v>433</v>
      </c>
      <c r="SFV47" s="32" t="s">
        <v>92</v>
      </c>
      <c r="SFW47" s="8" t="s">
        <v>132</v>
      </c>
      <c r="SFX47" s="22" t="s">
        <v>46</v>
      </c>
      <c r="SFY47" s="8" t="s">
        <v>433</v>
      </c>
      <c r="SFZ47" s="32" t="s">
        <v>92</v>
      </c>
      <c r="SGA47" s="8" t="s">
        <v>132</v>
      </c>
      <c r="SGB47" s="22" t="s">
        <v>46</v>
      </c>
      <c r="SGC47" s="8" t="s">
        <v>433</v>
      </c>
      <c r="SGD47" s="32" t="s">
        <v>92</v>
      </c>
      <c r="SGE47" s="8" t="s">
        <v>132</v>
      </c>
      <c r="SGF47" s="22" t="s">
        <v>46</v>
      </c>
      <c r="SGG47" s="8" t="s">
        <v>433</v>
      </c>
      <c r="SGH47" s="32" t="s">
        <v>92</v>
      </c>
      <c r="SGI47" s="8" t="s">
        <v>132</v>
      </c>
      <c r="SGJ47" s="22" t="s">
        <v>46</v>
      </c>
      <c r="SGK47" s="8" t="s">
        <v>433</v>
      </c>
      <c r="SGL47" s="32" t="s">
        <v>92</v>
      </c>
      <c r="SGM47" s="8" t="s">
        <v>132</v>
      </c>
      <c r="SGN47" s="22" t="s">
        <v>46</v>
      </c>
      <c r="SGO47" s="8" t="s">
        <v>433</v>
      </c>
      <c r="SGP47" s="32" t="s">
        <v>92</v>
      </c>
      <c r="SGQ47" s="8" t="s">
        <v>132</v>
      </c>
      <c r="SGR47" s="22" t="s">
        <v>46</v>
      </c>
      <c r="SGS47" s="8" t="s">
        <v>433</v>
      </c>
      <c r="SGT47" s="32" t="s">
        <v>92</v>
      </c>
      <c r="SGU47" s="8" t="s">
        <v>132</v>
      </c>
      <c r="SGV47" s="22" t="s">
        <v>46</v>
      </c>
      <c r="SGW47" s="8" t="s">
        <v>433</v>
      </c>
      <c r="SGX47" s="32" t="s">
        <v>92</v>
      </c>
      <c r="SGY47" s="8" t="s">
        <v>132</v>
      </c>
      <c r="SGZ47" s="22" t="s">
        <v>46</v>
      </c>
      <c r="SHA47" s="8" t="s">
        <v>433</v>
      </c>
      <c r="SHB47" s="32" t="s">
        <v>92</v>
      </c>
      <c r="SHC47" s="8" t="s">
        <v>132</v>
      </c>
      <c r="SHD47" s="22" t="s">
        <v>46</v>
      </c>
      <c r="SHE47" s="8" t="s">
        <v>433</v>
      </c>
      <c r="SHF47" s="32" t="s">
        <v>92</v>
      </c>
      <c r="SHG47" s="8" t="s">
        <v>132</v>
      </c>
      <c r="SHH47" s="22" t="s">
        <v>46</v>
      </c>
      <c r="SHI47" s="8" t="s">
        <v>433</v>
      </c>
      <c r="SHJ47" s="32" t="s">
        <v>92</v>
      </c>
      <c r="SHK47" s="8" t="s">
        <v>132</v>
      </c>
      <c r="SHL47" s="22" t="s">
        <v>46</v>
      </c>
      <c r="SHM47" s="8" t="s">
        <v>433</v>
      </c>
      <c r="SHN47" s="32" t="s">
        <v>92</v>
      </c>
      <c r="SHO47" s="8" t="s">
        <v>132</v>
      </c>
      <c r="SHP47" s="22" t="s">
        <v>46</v>
      </c>
      <c r="SHQ47" s="8" t="s">
        <v>433</v>
      </c>
      <c r="SHR47" s="32" t="s">
        <v>92</v>
      </c>
      <c r="SHS47" s="8" t="s">
        <v>132</v>
      </c>
      <c r="SHT47" s="22" t="s">
        <v>46</v>
      </c>
      <c r="SHU47" s="8" t="s">
        <v>433</v>
      </c>
      <c r="SHV47" s="32" t="s">
        <v>92</v>
      </c>
      <c r="SHW47" s="8" t="s">
        <v>132</v>
      </c>
      <c r="SHX47" s="22" t="s">
        <v>46</v>
      </c>
      <c r="SHY47" s="8" t="s">
        <v>433</v>
      </c>
      <c r="SHZ47" s="32" t="s">
        <v>92</v>
      </c>
      <c r="SIA47" s="8" t="s">
        <v>132</v>
      </c>
      <c r="SIB47" s="22" t="s">
        <v>46</v>
      </c>
      <c r="SIC47" s="8" t="s">
        <v>433</v>
      </c>
      <c r="SID47" s="32" t="s">
        <v>92</v>
      </c>
      <c r="SIE47" s="8" t="s">
        <v>132</v>
      </c>
      <c r="SIF47" s="22" t="s">
        <v>46</v>
      </c>
      <c r="SIG47" s="8" t="s">
        <v>433</v>
      </c>
      <c r="SIH47" s="32" t="s">
        <v>92</v>
      </c>
      <c r="SII47" s="8" t="s">
        <v>132</v>
      </c>
      <c r="SIJ47" s="22" t="s">
        <v>46</v>
      </c>
      <c r="SIK47" s="8" t="s">
        <v>433</v>
      </c>
      <c r="SIL47" s="32" t="s">
        <v>92</v>
      </c>
      <c r="SIM47" s="8" t="s">
        <v>132</v>
      </c>
      <c r="SIN47" s="22" t="s">
        <v>46</v>
      </c>
      <c r="SIO47" s="8" t="s">
        <v>433</v>
      </c>
      <c r="SIP47" s="32" t="s">
        <v>92</v>
      </c>
      <c r="SIQ47" s="8" t="s">
        <v>132</v>
      </c>
      <c r="SIR47" s="22" t="s">
        <v>46</v>
      </c>
      <c r="SIS47" s="8" t="s">
        <v>433</v>
      </c>
      <c r="SIT47" s="32" t="s">
        <v>92</v>
      </c>
      <c r="SIU47" s="8" t="s">
        <v>132</v>
      </c>
      <c r="SIV47" s="22" t="s">
        <v>46</v>
      </c>
      <c r="SIW47" s="8" t="s">
        <v>433</v>
      </c>
      <c r="SIX47" s="32" t="s">
        <v>92</v>
      </c>
      <c r="SIY47" s="8" t="s">
        <v>132</v>
      </c>
      <c r="SIZ47" s="22" t="s">
        <v>46</v>
      </c>
      <c r="SJA47" s="8" t="s">
        <v>433</v>
      </c>
      <c r="SJB47" s="32" t="s">
        <v>92</v>
      </c>
      <c r="SJC47" s="8" t="s">
        <v>132</v>
      </c>
      <c r="SJD47" s="22" t="s">
        <v>46</v>
      </c>
      <c r="SJE47" s="8" t="s">
        <v>433</v>
      </c>
      <c r="SJF47" s="32" t="s">
        <v>92</v>
      </c>
      <c r="SJG47" s="8" t="s">
        <v>132</v>
      </c>
      <c r="SJH47" s="22" t="s">
        <v>46</v>
      </c>
      <c r="SJI47" s="8" t="s">
        <v>433</v>
      </c>
      <c r="SJJ47" s="32" t="s">
        <v>92</v>
      </c>
      <c r="SJK47" s="8" t="s">
        <v>132</v>
      </c>
      <c r="SJL47" s="22" t="s">
        <v>46</v>
      </c>
      <c r="SJM47" s="8" t="s">
        <v>433</v>
      </c>
      <c r="SJN47" s="32" t="s">
        <v>92</v>
      </c>
      <c r="SJO47" s="8" t="s">
        <v>132</v>
      </c>
      <c r="SJP47" s="22" t="s">
        <v>46</v>
      </c>
      <c r="SJQ47" s="8" t="s">
        <v>433</v>
      </c>
      <c r="SJR47" s="32" t="s">
        <v>92</v>
      </c>
      <c r="SJS47" s="8" t="s">
        <v>132</v>
      </c>
      <c r="SJT47" s="22" t="s">
        <v>46</v>
      </c>
      <c r="SJU47" s="8" t="s">
        <v>433</v>
      </c>
      <c r="SJV47" s="32" t="s">
        <v>92</v>
      </c>
      <c r="SJW47" s="8" t="s">
        <v>132</v>
      </c>
      <c r="SJX47" s="22" t="s">
        <v>46</v>
      </c>
      <c r="SJY47" s="8" t="s">
        <v>433</v>
      </c>
      <c r="SJZ47" s="32" t="s">
        <v>92</v>
      </c>
      <c r="SKA47" s="8" t="s">
        <v>132</v>
      </c>
      <c r="SKB47" s="22" t="s">
        <v>46</v>
      </c>
      <c r="SKC47" s="8" t="s">
        <v>433</v>
      </c>
      <c r="SKD47" s="32" t="s">
        <v>92</v>
      </c>
      <c r="SKE47" s="8" t="s">
        <v>132</v>
      </c>
      <c r="SKF47" s="22" t="s">
        <v>46</v>
      </c>
      <c r="SKG47" s="8" t="s">
        <v>433</v>
      </c>
      <c r="SKH47" s="32" t="s">
        <v>92</v>
      </c>
      <c r="SKI47" s="8" t="s">
        <v>132</v>
      </c>
      <c r="SKJ47" s="22" t="s">
        <v>46</v>
      </c>
      <c r="SKK47" s="8" t="s">
        <v>433</v>
      </c>
      <c r="SKL47" s="32" t="s">
        <v>92</v>
      </c>
      <c r="SKM47" s="8" t="s">
        <v>132</v>
      </c>
      <c r="SKN47" s="22" t="s">
        <v>46</v>
      </c>
      <c r="SKO47" s="8" t="s">
        <v>433</v>
      </c>
      <c r="SKP47" s="32" t="s">
        <v>92</v>
      </c>
      <c r="SKQ47" s="8" t="s">
        <v>132</v>
      </c>
      <c r="SKR47" s="22" t="s">
        <v>46</v>
      </c>
      <c r="SKS47" s="8" t="s">
        <v>433</v>
      </c>
      <c r="SKT47" s="32" t="s">
        <v>92</v>
      </c>
      <c r="SKU47" s="8" t="s">
        <v>132</v>
      </c>
      <c r="SKV47" s="22" t="s">
        <v>46</v>
      </c>
      <c r="SKW47" s="8" t="s">
        <v>433</v>
      </c>
      <c r="SKX47" s="32" t="s">
        <v>92</v>
      </c>
      <c r="SKY47" s="8" t="s">
        <v>132</v>
      </c>
      <c r="SKZ47" s="22" t="s">
        <v>46</v>
      </c>
      <c r="SLA47" s="8" t="s">
        <v>433</v>
      </c>
      <c r="SLB47" s="32" t="s">
        <v>92</v>
      </c>
      <c r="SLC47" s="8" t="s">
        <v>132</v>
      </c>
      <c r="SLD47" s="22" t="s">
        <v>46</v>
      </c>
      <c r="SLE47" s="8" t="s">
        <v>433</v>
      </c>
      <c r="SLF47" s="32" t="s">
        <v>92</v>
      </c>
      <c r="SLG47" s="8" t="s">
        <v>132</v>
      </c>
      <c r="SLH47" s="22" t="s">
        <v>46</v>
      </c>
      <c r="SLI47" s="8" t="s">
        <v>433</v>
      </c>
      <c r="SLJ47" s="32" t="s">
        <v>92</v>
      </c>
      <c r="SLK47" s="8" t="s">
        <v>132</v>
      </c>
      <c r="SLL47" s="22" t="s">
        <v>46</v>
      </c>
      <c r="SLM47" s="8" t="s">
        <v>433</v>
      </c>
      <c r="SLN47" s="32" t="s">
        <v>92</v>
      </c>
      <c r="SLO47" s="8" t="s">
        <v>132</v>
      </c>
      <c r="SLP47" s="22" t="s">
        <v>46</v>
      </c>
      <c r="SLQ47" s="8" t="s">
        <v>433</v>
      </c>
      <c r="SLR47" s="32" t="s">
        <v>92</v>
      </c>
      <c r="SLS47" s="8" t="s">
        <v>132</v>
      </c>
      <c r="SLT47" s="22" t="s">
        <v>46</v>
      </c>
      <c r="SLU47" s="8" t="s">
        <v>433</v>
      </c>
      <c r="SLV47" s="32" t="s">
        <v>92</v>
      </c>
      <c r="SLW47" s="8" t="s">
        <v>132</v>
      </c>
      <c r="SLX47" s="22" t="s">
        <v>46</v>
      </c>
      <c r="SLY47" s="8" t="s">
        <v>433</v>
      </c>
      <c r="SLZ47" s="32" t="s">
        <v>92</v>
      </c>
      <c r="SMA47" s="8" t="s">
        <v>132</v>
      </c>
      <c r="SMB47" s="22" t="s">
        <v>46</v>
      </c>
      <c r="SMC47" s="8" t="s">
        <v>433</v>
      </c>
      <c r="SMD47" s="32" t="s">
        <v>92</v>
      </c>
      <c r="SME47" s="8" t="s">
        <v>132</v>
      </c>
      <c r="SMF47" s="22" t="s">
        <v>46</v>
      </c>
      <c r="SMG47" s="8" t="s">
        <v>433</v>
      </c>
      <c r="SMH47" s="32" t="s">
        <v>92</v>
      </c>
      <c r="SMI47" s="8" t="s">
        <v>132</v>
      </c>
      <c r="SMJ47" s="22" t="s">
        <v>46</v>
      </c>
      <c r="SMK47" s="8" t="s">
        <v>433</v>
      </c>
      <c r="SML47" s="32" t="s">
        <v>92</v>
      </c>
      <c r="SMM47" s="8" t="s">
        <v>132</v>
      </c>
      <c r="SMN47" s="22" t="s">
        <v>46</v>
      </c>
      <c r="SMO47" s="8" t="s">
        <v>433</v>
      </c>
      <c r="SMP47" s="32" t="s">
        <v>92</v>
      </c>
      <c r="SMQ47" s="8" t="s">
        <v>132</v>
      </c>
      <c r="SMR47" s="22" t="s">
        <v>46</v>
      </c>
      <c r="SMS47" s="8" t="s">
        <v>433</v>
      </c>
      <c r="SMT47" s="32" t="s">
        <v>92</v>
      </c>
      <c r="SMU47" s="8" t="s">
        <v>132</v>
      </c>
      <c r="SMV47" s="22" t="s">
        <v>46</v>
      </c>
      <c r="SMW47" s="8" t="s">
        <v>433</v>
      </c>
      <c r="SMX47" s="32" t="s">
        <v>92</v>
      </c>
      <c r="SMY47" s="8" t="s">
        <v>132</v>
      </c>
      <c r="SMZ47" s="22" t="s">
        <v>46</v>
      </c>
      <c r="SNA47" s="8" t="s">
        <v>433</v>
      </c>
      <c r="SNB47" s="32" t="s">
        <v>92</v>
      </c>
      <c r="SNC47" s="8" t="s">
        <v>132</v>
      </c>
      <c r="SND47" s="22" t="s">
        <v>46</v>
      </c>
      <c r="SNE47" s="8" t="s">
        <v>433</v>
      </c>
      <c r="SNF47" s="32" t="s">
        <v>92</v>
      </c>
      <c r="SNG47" s="8" t="s">
        <v>132</v>
      </c>
      <c r="SNH47" s="22" t="s">
        <v>46</v>
      </c>
      <c r="SNI47" s="8" t="s">
        <v>433</v>
      </c>
      <c r="SNJ47" s="32" t="s">
        <v>92</v>
      </c>
      <c r="SNK47" s="8" t="s">
        <v>132</v>
      </c>
      <c r="SNL47" s="22" t="s">
        <v>46</v>
      </c>
      <c r="SNM47" s="8" t="s">
        <v>433</v>
      </c>
      <c r="SNN47" s="32" t="s">
        <v>92</v>
      </c>
      <c r="SNO47" s="8" t="s">
        <v>132</v>
      </c>
      <c r="SNP47" s="22" t="s">
        <v>46</v>
      </c>
      <c r="SNQ47" s="8" t="s">
        <v>433</v>
      </c>
      <c r="SNR47" s="32" t="s">
        <v>92</v>
      </c>
      <c r="SNS47" s="8" t="s">
        <v>132</v>
      </c>
      <c r="SNT47" s="22" t="s">
        <v>46</v>
      </c>
      <c r="SNU47" s="8" t="s">
        <v>433</v>
      </c>
      <c r="SNV47" s="32" t="s">
        <v>92</v>
      </c>
      <c r="SNW47" s="8" t="s">
        <v>132</v>
      </c>
      <c r="SNX47" s="22" t="s">
        <v>46</v>
      </c>
      <c r="SNY47" s="8" t="s">
        <v>433</v>
      </c>
      <c r="SNZ47" s="32" t="s">
        <v>92</v>
      </c>
      <c r="SOA47" s="8" t="s">
        <v>132</v>
      </c>
      <c r="SOB47" s="22" t="s">
        <v>46</v>
      </c>
      <c r="SOC47" s="8" t="s">
        <v>433</v>
      </c>
      <c r="SOD47" s="32" t="s">
        <v>92</v>
      </c>
      <c r="SOE47" s="8" t="s">
        <v>132</v>
      </c>
      <c r="SOF47" s="22" t="s">
        <v>46</v>
      </c>
      <c r="SOG47" s="8" t="s">
        <v>433</v>
      </c>
      <c r="SOH47" s="32" t="s">
        <v>92</v>
      </c>
      <c r="SOI47" s="8" t="s">
        <v>132</v>
      </c>
      <c r="SOJ47" s="22" t="s">
        <v>46</v>
      </c>
      <c r="SOK47" s="8" t="s">
        <v>433</v>
      </c>
      <c r="SOL47" s="32" t="s">
        <v>92</v>
      </c>
      <c r="SOM47" s="8" t="s">
        <v>132</v>
      </c>
      <c r="SON47" s="22" t="s">
        <v>46</v>
      </c>
      <c r="SOO47" s="8" t="s">
        <v>433</v>
      </c>
      <c r="SOP47" s="32" t="s">
        <v>92</v>
      </c>
      <c r="SOQ47" s="8" t="s">
        <v>132</v>
      </c>
      <c r="SOR47" s="22" t="s">
        <v>46</v>
      </c>
      <c r="SOS47" s="8" t="s">
        <v>433</v>
      </c>
      <c r="SOT47" s="32" t="s">
        <v>92</v>
      </c>
      <c r="SOU47" s="8" t="s">
        <v>132</v>
      </c>
      <c r="SOV47" s="22" t="s">
        <v>46</v>
      </c>
      <c r="SOW47" s="8" t="s">
        <v>433</v>
      </c>
      <c r="SOX47" s="32" t="s">
        <v>92</v>
      </c>
      <c r="SOY47" s="8" t="s">
        <v>132</v>
      </c>
      <c r="SOZ47" s="22" t="s">
        <v>46</v>
      </c>
      <c r="SPA47" s="8" t="s">
        <v>433</v>
      </c>
      <c r="SPB47" s="32" t="s">
        <v>92</v>
      </c>
      <c r="SPC47" s="8" t="s">
        <v>132</v>
      </c>
      <c r="SPD47" s="22" t="s">
        <v>46</v>
      </c>
      <c r="SPE47" s="8" t="s">
        <v>433</v>
      </c>
      <c r="SPF47" s="32" t="s">
        <v>92</v>
      </c>
      <c r="SPG47" s="8" t="s">
        <v>132</v>
      </c>
      <c r="SPH47" s="22" t="s">
        <v>46</v>
      </c>
      <c r="SPI47" s="8" t="s">
        <v>433</v>
      </c>
      <c r="SPJ47" s="32" t="s">
        <v>92</v>
      </c>
      <c r="SPK47" s="8" t="s">
        <v>132</v>
      </c>
      <c r="SPL47" s="22" t="s">
        <v>46</v>
      </c>
      <c r="SPM47" s="8" t="s">
        <v>433</v>
      </c>
      <c r="SPN47" s="32" t="s">
        <v>92</v>
      </c>
      <c r="SPO47" s="8" t="s">
        <v>132</v>
      </c>
      <c r="SPP47" s="22" t="s">
        <v>46</v>
      </c>
      <c r="SPQ47" s="8" t="s">
        <v>433</v>
      </c>
      <c r="SPR47" s="32" t="s">
        <v>92</v>
      </c>
      <c r="SPS47" s="8" t="s">
        <v>132</v>
      </c>
      <c r="SPT47" s="22" t="s">
        <v>46</v>
      </c>
      <c r="SPU47" s="8" t="s">
        <v>433</v>
      </c>
      <c r="SPV47" s="32" t="s">
        <v>92</v>
      </c>
      <c r="SPW47" s="8" t="s">
        <v>132</v>
      </c>
      <c r="SPX47" s="22" t="s">
        <v>46</v>
      </c>
      <c r="SPY47" s="8" t="s">
        <v>433</v>
      </c>
      <c r="SPZ47" s="32" t="s">
        <v>92</v>
      </c>
      <c r="SQA47" s="8" t="s">
        <v>132</v>
      </c>
      <c r="SQB47" s="22" t="s">
        <v>46</v>
      </c>
      <c r="SQC47" s="8" t="s">
        <v>433</v>
      </c>
      <c r="SQD47" s="32" t="s">
        <v>92</v>
      </c>
      <c r="SQE47" s="8" t="s">
        <v>132</v>
      </c>
      <c r="SQF47" s="22" t="s">
        <v>46</v>
      </c>
      <c r="SQG47" s="8" t="s">
        <v>433</v>
      </c>
      <c r="SQH47" s="32" t="s">
        <v>92</v>
      </c>
      <c r="SQI47" s="8" t="s">
        <v>132</v>
      </c>
      <c r="SQJ47" s="22" t="s">
        <v>46</v>
      </c>
      <c r="SQK47" s="8" t="s">
        <v>433</v>
      </c>
      <c r="SQL47" s="32" t="s">
        <v>92</v>
      </c>
      <c r="SQM47" s="8" t="s">
        <v>132</v>
      </c>
      <c r="SQN47" s="22" t="s">
        <v>46</v>
      </c>
      <c r="SQO47" s="8" t="s">
        <v>433</v>
      </c>
      <c r="SQP47" s="32" t="s">
        <v>92</v>
      </c>
      <c r="SQQ47" s="8" t="s">
        <v>132</v>
      </c>
      <c r="SQR47" s="22" t="s">
        <v>46</v>
      </c>
      <c r="SQS47" s="8" t="s">
        <v>433</v>
      </c>
      <c r="SQT47" s="32" t="s">
        <v>92</v>
      </c>
      <c r="SQU47" s="8" t="s">
        <v>132</v>
      </c>
      <c r="SQV47" s="22" t="s">
        <v>46</v>
      </c>
      <c r="SQW47" s="8" t="s">
        <v>433</v>
      </c>
      <c r="SQX47" s="32" t="s">
        <v>92</v>
      </c>
      <c r="SQY47" s="8" t="s">
        <v>132</v>
      </c>
      <c r="SQZ47" s="22" t="s">
        <v>46</v>
      </c>
      <c r="SRA47" s="8" t="s">
        <v>433</v>
      </c>
      <c r="SRB47" s="32" t="s">
        <v>92</v>
      </c>
      <c r="SRC47" s="8" t="s">
        <v>132</v>
      </c>
      <c r="SRD47" s="22" t="s">
        <v>46</v>
      </c>
      <c r="SRE47" s="8" t="s">
        <v>433</v>
      </c>
      <c r="SRF47" s="32" t="s">
        <v>92</v>
      </c>
      <c r="SRG47" s="8" t="s">
        <v>132</v>
      </c>
      <c r="SRH47" s="22" t="s">
        <v>46</v>
      </c>
      <c r="SRI47" s="8" t="s">
        <v>433</v>
      </c>
      <c r="SRJ47" s="32" t="s">
        <v>92</v>
      </c>
      <c r="SRK47" s="8" t="s">
        <v>132</v>
      </c>
      <c r="SRL47" s="22" t="s">
        <v>46</v>
      </c>
      <c r="SRM47" s="8" t="s">
        <v>433</v>
      </c>
      <c r="SRN47" s="32" t="s">
        <v>92</v>
      </c>
      <c r="SRO47" s="8" t="s">
        <v>132</v>
      </c>
      <c r="SRP47" s="22" t="s">
        <v>46</v>
      </c>
      <c r="SRQ47" s="8" t="s">
        <v>433</v>
      </c>
      <c r="SRR47" s="32" t="s">
        <v>92</v>
      </c>
      <c r="SRS47" s="8" t="s">
        <v>132</v>
      </c>
      <c r="SRT47" s="22" t="s">
        <v>46</v>
      </c>
      <c r="SRU47" s="8" t="s">
        <v>433</v>
      </c>
      <c r="SRV47" s="32" t="s">
        <v>92</v>
      </c>
      <c r="SRW47" s="8" t="s">
        <v>132</v>
      </c>
      <c r="SRX47" s="22" t="s">
        <v>46</v>
      </c>
      <c r="SRY47" s="8" t="s">
        <v>433</v>
      </c>
      <c r="SRZ47" s="32" t="s">
        <v>92</v>
      </c>
      <c r="SSA47" s="8" t="s">
        <v>132</v>
      </c>
      <c r="SSB47" s="22" t="s">
        <v>46</v>
      </c>
      <c r="SSC47" s="8" t="s">
        <v>433</v>
      </c>
      <c r="SSD47" s="32" t="s">
        <v>92</v>
      </c>
      <c r="SSE47" s="8" t="s">
        <v>132</v>
      </c>
      <c r="SSF47" s="22" t="s">
        <v>46</v>
      </c>
      <c r="SSG47" s="8" t="s">
        <v>433</v>
      </c>
      <c r="SSH47" s="32" t="s">
        <v>92</v>
      </c>
      <c r="SSI47" s="8" t="s">
        <v>132</v>
      </c>
      <c r="SSJ47" s="22" t="s">
        <v>46</v>
      </c>
      <c r="SSK47" s="8" t="s">
        <v>433</v>
      </c>
      <c r="SSL47" s="32" t="s">
        <v>92</v>
      </c>
      <c r="SSM47" s="8" t="s">
        <v>132</v>
      </c>
      <c r="SSN47" s="22" t="s">
        <v>46</v>
      </c>
      <c r="SSO47" s="8" t="s">
        <v>433</v>
      </c>
      <c r="SSP47" s="32" t="s">
        <v>92</v>
      </c>
      <c r="SSQ47" s="8" t="s">
        <v>132</v>
      </c>
      <c r="SSR47" s="22" t="s">
        <v>46</v>
      </c>
      <c r="SSS47" s="8" t="s">
        <v>433</v>
      </c>
      <c r="SST47" s="32" t="s">
        <v>92</v>
      </c>
      <c r="SSU47" s="8" t="s">
        <v>132</v>
      </c>
      <c r="SSV47" s="22" t="s">
        <v>46</v>
      </c>
      <c r="SSW47" s="8" t="s">
        <v>433</v>
      </c>
      <c r="SSX47" s="32" t="s">
        <v>92</v>
      </c>
      <c r="SSY47" s="8" t="s">
        <v>132</v>
      </c>
      <c r="SSZ47" s="22" t="s">
        <v>46</v>
      </c>
      <c r="STA47" s="8" t="s">
        <v>433</v>
      </c>
      <c r="STB47" s="32" t="s">
        <v>92</v>
      </c>
      <c r="STC47" s="8" t="s">
        <v>132</v>
      </c>
      <c r="STD47" s="22" t="s">
        <v>46</v>
      </c>
      <c r="STE47" s="8" t="s">
        <v>433</v>
      </c>
      <c r="STF47" s="32" t="s">
        <v>92</v>
      </c>
      <c r="STG47" s="8" t="s">
        <v>132</v>
      </c>
      <c r="STH47" s="22" t="s">
        <v>46</v>
      </c>
      <c r="STI47" s="8" t="s">
        <v>433</v>
      </c>
      <c r="STJ47" s="32" t="s">
        <v>92</v>
      </c>
      <c r="STK47" s="8" t="s">
        <v>132</v>
      </c>
      <c r="STL47" s="22" t="s">
        <v>46</v>
      </c>
      <c r="STM47" s="8" t="s">
        <v>433</v>
      </c>
      <c r="STN47" s="32" t="s">
        <v>92</v>
      </c>
      <c r="STO47" s="8" t="s">
        <v>132</v>
      </c>
      <c r="STP47" s="22" t="s">
        <v>46</v>
      </c>
      <c r="STQ47" s="8" t="s">
        <v>433</v>
      </c>
      <c r="STR47" s="32" t="s">
        <v>92</v>
      </c>
      <c r="STS47" s="8" t="s">
        <v>132</v>
      </c>
      <c r="STT47" s="22" t="s">
        <v>46</v>
      </c>
      <c r="STU47" s="8" t="s">
        <v>433</v>
      </c>
      <c r="STV47" s="32" t="s">
        <v>92</v>
      </c>
      <c r="STW47" s="8" t="s">
        <v>132</v>
      </c>
      <c r="STX47" s="22" t="s">
        <v>46</v>
      </c>
      <c r="STY47" s="8" t="s">
        <v>433</v>
      </c>
      <c r="STZ47" s="32" t="s">
        <v>92</v>
      </c>
      <c r="SUA47" s="8" t="s">
        <v>132</v>
      </c>
      <c r="SUB47" s="22" t="s">
        <v>46</v>
      </c>
      <c r="SUC47" s="8" t="s">
        <v>433</v>
      </c>
      <c r="SUD47" s="32" t="s">
        <v>92</v>
      </c>
      <c r="SUE47" s="8" t="s">
        <v>132</v>
      </c>
      <c r="SUF47" s="22" t="s">
        <v>46</v>
      </c>
      <c r="SUG47" s="8" t="s">
        <v>433</v>
      </c>
      <c r="SUH47" s="32" t="s">
        <v>92</v>
      </c>
      <c r="SUI47" s="8" t="s">
        <v>132</v>
      </c>
      <c r="SUJ47" s="22" t="s">
        <v>46</v>
      </c>
      <c r="SUK47" s="8" t="s">
        <v>433</v>
      </c>
      <c r="SUL47" s="32" t="s">
        <v>92</v>
      </c>
      <c r="SUM47" s="8" t="s">
        <v>132</v>
      </c>
      <c r="SUN47" s="22" t="s">
        <v>46</v>
      </c>
      <c r="SUO47" s="8" t="s">
        <v>433</v>
      </c>
      <c r="SUP47" s="32" t="s">
        <v>92</v>
      </c>
      <c r="SUQ47" s="8" t="s">
        <v>132</v>
      </c>
      <c r="SUR47" s="22" t="s">
        <v>46</v>
      </c>
      <c r="SUS47" s="8" t="s">
        <v>433</v>
      </c>
      <c r="SUT47" s="32" t="s">
        <v>92</v>
      </c>
      <c r="SUU47" s="8" t="s">
        <v>132</v>
      </c>
      <c r="SUV47" s="22" t="s">
        <v>46</v>
      </c>
      <c r="SUW47" s="8" t="s">
        <v>433</v>
      </c>
      <c r="SUX47" s="32" t="s">
        <v>92</v>
      </c>
      <c r="SUY47" s="8" t="s">
        <v>132</v>
      </c>
      <c r="SUZ47" s="22" t="s">
        <v>46</v>
      </c>
      <c r="SVA47" s="8" t="s">
        <v>433</v>
      </c>
      <c r="SVB47" s="32" t="s">
        <v>92</v>
      </c>
      <c r="SVC47" s="8" t="s">
        <v>132</v>
      </c>
      <c r="SVD47" s="22" t="s">
        <v>46</v>
      </c>
      <c r="SVE47" s="8" t="s">
        <v>433</v>
      </c>
      <c r="SVF47" s="32" t="s">
        <v>92</v>
      </c>
      <c r="SVG47" s="8" t="s">
        <v>132</v>
      </c>
      <c r="SVH47" s="22" t="s">
        <v>46</v>
      </c>
      <c r="SVI47" s="8" t="s">
        <v>433</v>
      </c>
      <c r="SVJ47" s="32" t="s">
        <v>92</v>
      </c>
      <c r="SVK47" s="8" t="s">
        <v>132</v>
      </c>
      <c r="SVL47" s="22" t="s">
        <v>46</v>
      </c>
      <c r="SVM47" s="8" t="s">
        <v>433</v>
      </c>
      <c r="SVN47" s="32" t="s">
        <v>92</v>
      </c>
      <c r="SVO47" s="8" t="s">
        <v>132</v>
      </c>
      <c r="SVP47" s="22" t="s">
        <v>46</v>
      </c>
      <c r="SVQ47" s="8" t="s">
        <v>433</v>
      </c>
      <c r="SVR47" s="32" t="s">
        <v>92</v>
      </c>
      <c r="SVS47" s="8" t="s">
        <v>132</v>
      </c>
      <c r="SVT47" s="22" t="s">
        <v>46</v>
      </c>
      <c r="SVU47" s="8" t="s">
        <v>433</v>
      </c>
      <c r="SVV47" s="32" t="s">
        <v>92</v>
      </c>
      <c r="SVW47" s="8" t="s">
        <v>132</v>
      </c>
      <c r="SVX47" s="22" t="s">
        <v>46</v>
      </c>
      <c r="SVY47" s="8" t="s">
        <v>433</v>
      </c>
      <c r="SVZ47" s="32" t="s">
        <v>92</v>
      </c>
      <c r="SWA47" s="8" t="s">
        <v>132</v>
      </c>
      <c r="SWB47" s="22" t="s">
        <v>46</v>
      </c>
      <c r="SWC47" s="8" t="s">
        <v>433</v>
      </c>
      <c r="SWD47" s="32" t="s">
        <v>92</v>
      </c>
      <c r="SWE47" s="8" t="s">
        <v>132</v>
      </c>
      <c r="SWF47" s="22" t="s">
        <v>46</v>
      </c>
      <c r="SWG47" s="8" t="s">
        <v>433</v>
      </c>
      <c r="SWH47" s="32" t="s">
        <v>92</v>
      </c>
      <c r="SWI47" s="8" t="s">
        <v>132</v>
      </c>
      <c r="SWJ47" s="22" t="s">
        <v>46</v>
      </c>
      <c r="SWK47" s="8" t="s">
        <v>433</v>
      </c>
      <c r="SWL47" s="32" t="s">
        <v>92</v>
      </c>
      <c r="SWM47" s="8" t="s">
        <v>132</v>
      </c>
      <c r="SWN47" s="22" t="s">
        <v>46</v>
      </c>
      <c r="SWO47" s="8" t="s">
        <v>433</v>
      </c>
      <c r="SWP47" s="32" t="s">
        <v>92</v>
      </c>
      <c r="SWQ47" s="8" t="s">
        <v>132</v>
      </c>
      <c r="SWR47" s="22" t="s">
        <v>46</v>
      </c>
      <c r="SWS47" s="8" t="s">
        <v>433</v>
      </c>
      <c r="SWT47" s="32" t="s">
        <v>92</v>
      </c>
      <c r="SWU47" s="8" t="s">
        <v>132</v>
      </c>
      <c r="SWV47" s="22" t="s">
        <v>46</v>
      </c>
      <c r="SWW47" s="8" t="s">
        <v>433</v>
      </c>
      <c r="SWX47" s="32" t="s">
        <v>92</v>
      </c>
      <c r="SWY47" s="8" t="s">
        <v>132</v>
      </c>
      <c r="SWZ47" s="22" t="s">
        <v>46</v>
      </c>
      <c r="SXA47" s="8" t="s">
        <v>433</v>
      </c>
      <c r="SXB47" s="32" t="s">
        <v>92</v>
      </c>
      <c r="SXC47" s="8" t="s">
        <v>132</v>
      </c>
      <c r="SXD47" s="22" t="s">
        <v>46</v>
      </c>
      <c r="SXE47" s="8" t="s">
        <v>433</v>
      </c>
      <c r="SXF47" s="32" t="s">
        <v>92</v>
      </c>
      <c r="SXG47" s="8" t="s">
        <v>132</v>
      </c>
      <c r="SXH47" s="22" t="s">
        <v>46</v>
      </c>
      <c r="SXI47" s="8" t="s">
        <v>433</v>
      </c>
      <c r="SXJ47" s="32" t="s">
        <v>92</v>
      </c>
      <c r="SXK47" s="8" t="s">
        <v>132</v>
      </c>
      <c r="SXL47" s="22" t="s">
        <v>46</v>
      </c>
      <c r="SXM47" s="8" t="s">
        <v>433</v>
      </c>
      <c r="SXN47" s="32" t="s">
        <v>92</v>
      </c>
      <c r="SXO47" s="8" t="s">
        <v>132</v>
      </c>
      <c r="SXP47" s="22" t="s">
        <v>46</v>
      </c>
      <c r="SXQ47" s="8" t="s">
        <v>433</v>
      </c>
      <c r="SXR47" s="32" t="s">
        <v>92</v>
      </c>
      <c r="SXS47" s="8" t="s">
        <v>132</v>
      </c>
      <c r="SXT47" s="22" t="s">
        <v>46</v>
      </c>
      <c r="SXU47" s="8" t="s">
        <v>433</v>
      </c>
      <c r="SXV47" s="32" t="s">
        <v>92</v>
      </c>
      <c r="SXW47" s="8" t="s">
        <v>132</v>
      </c>
      <c r="SXX47" s="22" t="s">
        <v>46</v>
      </c>
      <c r="SXY47" s="8" t="s">
        <v>433</v>
      </c>
      <c r="SXZ47" s="32" t="s">
        <v>92</v>
      </c>
      <c r="SYA47" s="8" t="s">
        <v>132</v>
      </c>
      <c r="SYB47" s="22" t="s">
        <v>46</v>
      </c>
      <c r="SYC47" s="8" t="s">
        <v>433</v>
      </c>
      <c r="SYD47" s="32" t="s">
        <v>92</v>
      </c>
      <c r="SYE47" s="8" t="s">
        <v>132</v>
      </c>
      <c r="SYF47" s="22" t="s">
        <v>46</v>
      </c>
      <c r="SYG47" s="8" t="s">
        <v>433</v>
      </c>
      <c r="SYH47" s="32" t="s">
        <v>92</v>
      </c>
      <c r="SYI47" s="8" t="s">
        <v>132</v>
      </c>
      <c r="SYJ47" s="22" t="s">
        <v>46</v>
      </c>
      <c r="SYK47" s="8" t="s">
        <v>433</v>
      </c>
      <c r="SYL47" s="32" t="s">
        <v>92</v>
      </c>
      <c r="SYM47" s="8" t="s">
        <v>132</v>
      </c>
      <c r="SYN47" s="22" t="s">
        <v>46</v>
      </c>
      <c r="SYO47" s="8" t="s">
        <v>433</v>
      </c>
      <c r="SYP47" s="32" t="s">
        <v>92</v>
      </c>
      <c r="SYQ47" s="8" t="s">
        <v>132</v>
      </c>
      <c r="SYR47" s="22" t="s">
        <v>46</v>
      </c>
      <c r="SYS47" s="8" t="s">
        <v>433</v>
      </c>
      <c r="SYT47" s="32" t="s">
        <v>92</v>
      </c>
      <c r="SYU47" s="8" t="s">
        <v>132</v>
      </c>
      <c r="SYV47" s="22" t="s">
        <v>46</v>
      </c>
      <c r="SYW47" s="8" t="s">
        <v>433</v>
      </c>
      <c r="SYX47" s="32" t="s">
        <v>92</v>
      </c>
      <c r="SYY47" s="8" t="s">
        <v>132</v>
      </c>
      <c r="SYZ47" s="22" t="s">
        <v>46</v>
      </c>
      <c r="SZA47" s="8" t="s">
        <v>433</v>
      </c>
      <c r="SZB47" s="32" t="s">
        <v>92</v>
      </c>
      <c r="SZC47" s="8" t="s">
        <v>132</v>
      </c>
      <c r="SZD47" s="22" t="s">
        <v>46</v>
      </c>
      <c r="SZE47" s="8" t="s">
        <v>433</v>
      </c>
      <c r="SZF47" s="32" t="s">
        <v>92</v>
      </c>
      <c r="SZG47" s="8" t="s">
        <v>132</v>
      </c>
      <c r="SZH47" s="22" t="s">
        <v>46</v>
      </c>
      <c r="SZI47" s="8" t="s">
        <v>433</v>
      </c>
      <c r="SZJ47" s="32" t="s">
        <v>92</v>
      </c>
      <c r="SZK47" s="8" t="s">
        <v>132</v>
      </c>
      <c r="SZL47" s="22" t="s">
        <v>46</v>
      </c>
      <c r="SZM47" s="8" t="s">
        <v>433</v>
      </c>
      <c r="SZN47" s="32" t="s">
        <v>92</v>
      </c>
      <c r="SZO47" s="8" t="s">
        <v>132</v>
      </c>
      <c r="SZP47" s="22" t="s">
        <v>46</v>
      </c>
      <c r="SZQ47" s="8" t="s">
        <v>433</v>
      </c>
      <c r="SZR47" s="32" t="s">
        <v>92</v>
      </c>
      <c r="SZS47" s="8" t="s">
        <v>132</v>
      </c>
      <c r="SZT47" s="22" t="s">
        <v>46</v>
      </c>
      <c r="SZU47" s="8" t="s">
        <v>433</v>
      </c>
      <c r="SZV47" s="32" t="s">
        <v>92</v>
      </c>
      <c r="SZW47" s="8" t="s">
        <v>132</v>
      </c>
      <c r="SZX47" s="22" t="s">
        <v>46</v>
      </c>
      <c r="SZY47" s="8" t="s">
        <v>433</v>
      </c>
      <c r="SZZ47" s="32" t="s">
        <v>92</v>
      </c>
      <c r="TAA47" s="8" t="s">
        <v>132</v>
      </c>
      <c r="TAB47" s="22" t="s">
        <v>46</v>
      </c>
      <c r="TAC47" s="8" t="s">
        <v>433</v>
      </c>
      <c r="TAD47" s="32" t="s">
        <v>92</v>
      </c>
      <c r="TAE47" s="8" t="s">
        <v>132</v>
      </c>
      <c r="TAF47" s="22" t="s">
        <v>46</v>
      </c>
      <c r="TAG47" s="8" t="s">
        <v>433</v>
      </c>
      <c r="TAH47" s="32" t="s">
        <v>92</v>
      </c>
      <c r="TAI47" s="8" t="s">
        <v>132</v>
      </c>
      <c r="TAJ47" s="22" t="s">
        <v>46</v>
      </c>
      <c r="TAK47" s="8" t="s">
        <v>433</v>
      </c>
      <c r="TAL47" s="32" t="s">
        <v>92</v>
      </c>
      <c r="TAM47" s="8" t="s">
        <v>132</v>
      </c>
      <c r="TAN47" s="22" t="s">
        <v>46</v>
      </c>
      <c r="TAO47" s="8" t="s">
        <v>433</v>
      </c>
      <c r="TAP47" s="32" t="s">
        <v>92</v>
      </c>
      <c r="TAQ47" s="8" t="s">
        <v>132</v>
      </c>
      <c r="TAR47" s="22" t="s">
        <v>46</v>
      </c>
      <c r="TAS47" s="8" t="s">
        <v>433</v>
      </c>
      <c r="TAT47" s="32" t="s">
        <v>92</v>
      </c>
      <c r="TAU47" s="8" t="s">
        <v>132</v>
      </c>
      <c r="TAV47" s="22" t="s">
        <v>46</v>
      </c>
      <c r="TAW47" s="8" t="s">
        <v>433</v>
      </c>
      <c r="TAX47" s="32" t="s">
        <v>92</v>
      </c>
      <c r="TAY47" s="8" t="s">
        <v>132</v>
      </c>
      <c r="TAZ47" s="22" t="s">
        <v>46</v>
      </c>
      <c r="TBA47" s="8" t="s">
        <v>433</v>
      </c>
      <c r="TBB47" s="32" t="s">
        <v>92</v>
      </c>
      <c r="TBC47" s="8" t="s">
        <v>132</v>
      </c>
      <c r="TBD47" s="22" t="s">
        <v>46</v>
      </c>
      <c r="TBE47" s="8" t="s">
        <v>433</v>
      </c>
      <c r="TBF47" s="32" t="s">
        <v>92</v>
      </c>
      <c r="TBG47" s="8" t="s">
        <v>132</v>
      </c>
      <c r="TBH47" s="22" t="s">
        <v>46</v>
      </c>
      <c r="TBI47" s="8" t="s">
        <v>433</v>
      </c>
      <c r="TBJ47" s="32" t="s">
        <v>92</v>
      </c>
      <c r="TBK47" s="8" t="s">
        <v>132</v>
      </c>
      <c r="TBL47" s="22" t="s">
        <v>46</v>
      </c>
      <c r="TBM47" s="8" t="s">
        <v>433</v>
      </c>
      <c r="TBN47" s="32" t="s">
        <v>92</v>
      </c>
      <c r="TBO47" s="8" t="s">
        <v>132</v>
      </c>
      <c r="TBP47" s="22" t="s">
        <v>46</v>
      </c>
      <c r="TBQ47" s="8" t="s">
        <v>433</v>
      </c>
      <c r="TBR47" s="32" t="s">
        <v>92</v>
      </c>
      <c r="TBS47" s="8" t="s">
        <v>132</v>
      </c>
      <c r="TBT47" s="22" t="s">
        <v>46</v>
      </c>
      <c r="TBU47" s="8" t="s">
        <v>433</v>
      </c>
      <c r="TBV47" s="32" t="s">
        <v>92</v>
      </c>
      <c r="TBW47" s="8" t="s">
        <v>132</v>
      </c>
      <c r="TBX47" s="22" t="s">
        <v>46</v>
      </c>
      <c r="TBY47" s="8" t="s">
        <v>433</v>
      </c>
      <c r="TBZ47" s="32" t="s">
        <v>92</v>
      </c>
      <c r="TCA47" s="8" t="s">
        <v>132</v>
      </c>
      <c r="TCB47" s="22" t="s">
        <v>46</v>
      </c>
      <c r="TCC47" s="8" t="s">
        <v>433</v>
      </c>
      <c r="TCD47" s="32" t="s">
        <v>92</v>
      </c>
      <c r="TCE47" s="8" t="s">
        <v>132</v>
      </c>
      <c r="TCF47" s="22" t="s">
        <v>46</v>
      </c>
      <c r="TCG47" s="8" t="s">
        <v>433</v>
      </c>
      <c r="TCH47" s="32" t="s">
        <v>92</v>
      </c>
      <c r="TCI47" s="8" t="s">
        <v>132</v>
      </c>
      <c r="TCJ47" s="22" t="s">
        <v>46</v>
      </c>
      <c r="TCK47" s="8" t="s">
        <v>433</v>
      </c>
      <c r="TCL47" s="32" t="s">
        <v>92</v>
      </c>
      <c r="TCM47" s="8" t="s">
        <v>132</v>
      </c>
      <c r="TCN47" s="22" t="s">
        <v>46</v>
      </c>
      <c r="TCO47" s="8" t="s">
        <v>433</v>
      </c>
      <c r="TCP47" s="32" t="s">
        <v>92</v>
      </c>
      <c r="TCQ47" s="8" t="s">
        <v>132</v>
      </c>
      <c r="TCR47" s="22" t="s">
        <v>46</v>
      </c>
      <c r="TCS47" s="8" t="s">
        <v>433</v>
      </c>
      <c r="TCT47" s="32" t="s">
        <v>92</v>
      </c>
      <c r="TCU47" s="8" t="s">
        <v>132</v>
      </c>
      <c r="TCV47" s="22" t="s">
        <v>46</v>
      </c>
      <c r="TCW47" s="8" t="s">
        <v>433</v>
      </c>
      <c r="TCX47" s="32" t="s">
        <v>92</v>
      </c>
      <c r="TCY47" s="8" t="s">
        <v>132</v>
      </c>
      <c r="TCZ47" s="22" t="s">
        <v>46</v>
      </c>
      <c r="TDA47" s="8" t="s">
        <v>433</v>
      </c>
      <c r="TDB47" s="32" t="s">
        <v>92</v>
      </c>
      <c r="TDC47" s="8" t="s">
        <v>132</v>
      </c>
      <c r="TDD47" s="22" t="s">
        <v>46</v>
      </c>
      <c r="TDE47" s="8" t="s">
        <v>433</v>
      </c>
      <c r="TDF47" s="32" t="s">
        <v>92</v>
      </c>
      <c r="TDG47" s="8" t="s">
        <v>132</v>
      </c>
      <c r="TDH47" s="22" t="s">
        <v>46</v>
      </c>
      <c r="TDI47" s="8" t="s">
        <v>433</v>
      </c>
      <c r="TDJ47" s="32" t="s">
        <v>92</v>
      </c>
      <c r="TDK47" s="8" t="s">
        <v>132</v>
      </c>
      <c r="TDL47" s="22" t="s">
        <v>46</v>
      </c>
      <c r="TDM47" s="8" t="s">
        <v>433</v>
      </c>
      <c r="TDN47" s="32" t="s">
        <v>92</v>
      </c>
      <c r="TDO47" s="8" t="s">
        <v>132</v>
      </c>
      <c r="TDP47" s="22" t="s">
        <v>46</v>
      </c>
      <c r="TDQ47" s="8" t="s">
        <v>433</v>
      </c>
      <c r="TDR47" s="32" t="s">
        <v>92</v>
      </c>
      <c r="TDS47" s="8" t="s">
        <v>132</v>
      </c>
      <c r="TDT47" s="22" t="s">
        <v>46</v>
      </c>
      <c r="TDU47" s="8" t="s">
        <v>433</v>
      </c>
      <c r="TDV47" s="32" t="s">
        <v>92</v>
      </c>
      <c r="TDW47" s="8" t="s">
        <v>132</v>
      </c>
      <c r="TDX47" s="22" t="s">
        <v>46</v>
      </c>
      <c r="TDY47" s="8" t="s">
        <v>433</v>
      </c>
      <c r="TDZ47" s="32" t="s">
        <v>92</v>
      </c>
      <c r="TEA47" s="8" t="s">
        <v>132</v>
      </c>
      <c r="TEB47" s="22" t="s">
        <v>46</v>
      </c>
      <c r="TEC47" s="8" t="s">
        <v>433</v>
      </c>
      <c r="TED47" s="32" t="s">
        <v>92</v>
      </c>
      <c r="TEE47" s="8" t="s">
        <v>132</v>
      </c>
      <c r="TEF47" s="22" t="s">
        <v>46</v>
      </c>
      <c r="TEG47" s="8" t="s">
        <v>433</v>
      </c>
      <c r="TEH47" s="32" t="s">
        <v>92</v>
      </c>
      <c r="TEI47" s="8" t="s">
        <v>132</v>
      </c>
      <c r="TEJ47" s="22" t="s">
        <v>46</v>
      </c>
      <c r="TEK47" s="8" t="s">
        <v>433</v>
      </c>
      <c r="TEL47" s="32" t="s">
        <v>92</v>
      </c>
      <c r="TEM47" s="8" t="s">
        <v>132</v>
      </c>
      <c r="TEN47" s="22" t="s">
        <v>46</v>
      </c>
      <c r="TEO47" s="8" t="s">
        <v>433</v>
      </c>
      <c r="TEP47" s="32" t="s">
        <v>92</v>
      </c>
      <c r="TEQ47" s="8" t="s">
        <v>132</v>
      </c>
      <c r="TER47" s="22" t="s">
        <v>46</v>
      </c>
      <c r="TES47" s="8" t="s">
        <v>433</v>
      </c>
      <c r="TET47" s="32" t="s">
        <v>92</v>
      </c>
      <c r="TEU47" s="8" t="s">
        <v>132</v>
      </c>
      <c r="TEV47" s="22" t="s">
        <v>46</v>
      </c>
      <c r="TEW47" s="8" t="s">
        <v>433</v>
      </c>
      <c r="TEX47" s="32" t="s">
        <v>92</v>
      </c>
      <c r="TEY47" s="8" t="s">
        <v>132</v>
      </c>
      <c r="TEZ47" s="22" t="s">
        <v>46</v>
      </c>
      <c r="TFA47" s="8" t="s">
        <v>433</v>
      </c>
      <c r="TFB47" s="32" t="s">
        <v>92</v>
      </c>
      <c r="TFC47" s="8" t="s">
        <v>132</v>
      </c>
      <c r="TFD47" s="22" t="s">
        <v>46</v>
      </c>
      <c r="TFE47" s="8" t="s">
        <v>433</v>
      </c>
      <c r="TFF47" s="32" t="s">
        <v>92</v>
      </c>
      <c r="TFG47" s="8" t="s">
        <v>132</v>
      </c>
      <c r="TFH47" s="22" t="s">
        <v>46</v>
      </c>
      <c r="TFI47" s="8" t="s">
        <v>433</v>
      </c>
      <c r="TFJ47" s="32" t="s">
        <v>92</v>
      </c>
      <c r="TFK47" s="8" t="s">
        <v>132</v>
      </c>
      <c r="TFL47" s="22" t="s">
        <v>46</v>
      </c>
      <c r="TFM47" s="8" t="s">
        <v>433</v>
      </c>
      <c r="TFN47" s="32" t="s">
        <v>92</v>
      </c>
      <c r="TFO47" s="8" t="s">
        <v>132</v>
      </c>
      <c r="TFP47" s="22" t="s">
        <v>46</v>
      </c>
      <c r="TFQ47" s="8" t="s">
        <v>433</v>
      </c>
      <c r="TFR47" s="32" t="s">
        <v>92</v>
      </c>
      <c r="TFS47" s="8" t="s">
        <v>132</v>
      </c>
      <c r="TFT47" s="22" t="s">
        <v>46</v>
      </c>
      <c r="TFU47" s="8" t="s">
        <v>433</v>
      </c>
      <c r="TFV47" s="32" t="s">
        <v>92</v>
      </c>
      <c r="TFW47" s="8" t="s">
        <v>132</v>
      </c>
      <c r="TFX47" s="22" t="s">
        <v>46</v>
      </c>
      <c r="TFY47" s="8" t="s">
        <v>433</v>
      </c>
      <c r="TFZ47" s="32" t="s">
        <v>92</v>
      </c>
      <c r="TGA47" s="8" t="s">
        <v>132</v>
      </c>
      <c r="TGB47" s="22" t="s">
        <v>46</v>
      </c>
      <c r="TGC47" s="8" t="s">
        <v>433</v>
      </c>
      <c r="TGD47" s="32" t="s">
        <v>92</v>
      </c>
      <c r="TGE47" s="8" t="s">
        <v>132</v>
      </c>
      <c r="TGF47" s="22" t="s">
        <v>46</v>
      </c>
      <c r="TGG47" s="8" t="s">
        <v>433</v>
      </c>
      <c r="TGH47" s="32" t="s">
        <v>92</v>
      </c>
      <c r="TGI47" s="8" t="s">
        <v>132</v>
      </c>
      <c r="TGJ47" s="22" t="s">
        <v>46</v>
      </c>
      <c r="TGK47" s="8" t="s">
        <v>433</v>
      </c>
      <c r="TGL47" s="32" t="s">
        <v>92</v>
      </c>
      <c r="TGM47" s="8" t="s">
        <v>132</v>
      </c>
      <c r="TGN47" s="22" t="s">
        <v>46</v>
      </c>
      <c r="TGO47" s="8" t="s">
        <v>433</v>
      </c>
      <c r="TGP47" s="32" t="s">
        <v>92</v>
      </c>
      <c r="TGQ47" s="8" t="s">
        <v>132</v>
      </c>
      <c r="TGR47" s="22" t="s">
        <v>46</v>
      </c>
      <c r="TGS47" s="8" t="s">
        <v>433</v>
      </c>
      <c r="TGT47" s="32" t="s">
        <v>92</v>
      </c>
      <c r="TGU47" s="8" t="s">
        <v>132</v>
      </c>
      <c r="TGV47" s="22" t="s">
        <v>46</v>
      </c>
      <c r="TGW47" s="8" t="s">
        <v>433</v>
      </c>
      <c r="TGX47" s="32" t="s">
        <v>92</v>
      </c>
      <c r="TGY47" s="8" t="s">
        <v>132</v>
      </c>
      <c r="TGZ47" s="22" t="s">
        <v>46</v>
      </c>
      <c r="THA47" s="8" t="s">
        <v>433</v>
      </c>
      <c r="THB47" s="32" t="s">
        <v>92</v>
      </c>
      <c r="THC47" s="8" t="s">
        <v>132</v>
      </c>
      <c r="THD47" s="22" t="s">
        <v>46</v>
      </c>
      <c r="THE47" s="8" t="s">
        <v>433</v>
      </c>
      <c r="THF47" s="32" t="s">
        <v>92</v>
      </c>
      <c r="THG47" s="8" t="s">
        <v>132</v>
      </c>
      <c r="THH47" s="22" t="s">
        <v>46</v>
      </c>
      <c r="THI47" s="8" t="s">
        <v>433</v>
      </c>
      <c r="THJ47" s="32" t="s">
        <v>92</v>
      </c>
      <c r="THK47" s="8" t="s">
        <v>132</v>
      </c>
      <c r="THL47" s="22" t="s">
        <v>46</v>
      </c>
      <c r="THM47" s="8" t="s">
        <v>433</v>
      </c>
      <c r="THN47" s="32" t="s">
        <v>92</v>
      </c>
      <c r="THO47" s="8" t="s">
        <v>132</v>
      </c>
      <c r="THP47" s="22" t="s">
        <v>46</v>
      </c>
      <c r="THQ47" s="8" t="s">
        <v>433</v>
      </c>
      <c r="THR47" s="32" t="s">
        <v>92</v>
      </c>
      <c r="THS47" s="8" t="s">
        <v>132</v>
      </c>
      <c r="THT47" s="22" t="s">
        <v>46</v>
      </c>
      <c r="THU47" s="8" t="s">
        <v>433</v>
      </c>
      <c r="THV47" s="32" t="s">
        <v>92</v>
      </c>
      <c r="THW47" s="8" t="s">
        <v>132</v>
      </c>
      <c r="THX47" s="22" t="s">
        <v>46</v>
      </c>
      <c r="THY47" s="8" t="s">
        <v>433</v>
      </c>
      <c r="THZ47" s="32" t="s">
        <v>92</v>
      </c>
      <c r="TIA47" s="8" t="s">
        <v>132</v>
      </c>
      <c r="TIB47" s="22" t="s">
        <v>46</v>
      </c>
      <c r="TIC47" s="8" t="s">
        <v>433</v>
      </c>
      <c r="TID47" s="32" t="s">
        <v>92</v>
      </c>
      <c r="TIE47" s="8" t="s">
        <v>132</v>
      </c>
      <c r="TIF47" s="22" t="s">
        <v>46</v>
      </c>
      <c r="TIG47" s="8" t="s">
        <v>433</v>
      </c>
      <c r="TIH47" s="32" t="s">
        <v>92</v>
      </c>
      <c r="TII47" s="8" t="s">
        <v>132</v>
      </c>
      <c r="TIJ47" s="22" t="s">
        <v>46</v>
      </c>
      <c r="TIK47" s="8" t="s">
        <v>433</v>
      </c>
      <c r="TIL47" s="32" t="s">
        <v>92</v>
      </c>
      <c r="TIM47" s="8" t="s">
        <v>132</v>
      </c>
      <c r="TIN47" s="22" t="s">
        <v>46</v>
      </c>
      <c r="TIO47" s="8" t="s">
        <v>433</v>
      </c>
      <c r="TIP47" s="32" t="s">
        <v>92</v>
      </c>
      <c r="TIQ47" s="8" t="s">
        <v>132</v>
      </c>
      <c r="TIR47" s="22" t="s">
        <v>46</v>
      </c>
      <c r="TIS47" s="8" t="s">
        <v>433</v>
      </c>
      <c r="TIT47" s="32" t="s">
        <v>92</v>
      </c>
      <c r="TIU47" s="8" t="s">
        <v>132</v>
      </c>
      <c r="TIV47" s="22" t="s">
        <v>46</v>
      </c>
      <c r="TIW47" s="8" t="s">
        <v>433</v>
      </c>
      <c r="TIX47" s="32" t="s">
        <v>92</v>
      </c>
      <c r="TIY47" s="8" t="s">
        <v>132</v>
      </c>
      <c r="TIZ47" s="22" t="s">
        <v>46</v>
      </c>
      <c r="TJA47" s="8" t="s">
        <v>433</v>
      </c>
      <c r="TJB47" s="32" t="s">
        <v>92</v>
      </c>
      <c r="TJC47" s="8" t="s">
        <v>132</v>
      </c>
      <c r="TJD47" s="22" t="s">
        <v>46</v>
      </c>
      <c r="TJE47" s="8" t="s">
        <v>433</v>
      </c>
      <c r="TJF47" s="32" t="s">
        <v>92</v>
      </c>
      <c r="TJG47" s="8" t="s">
        <v>132</v>
      </c>
      <c r="TJH47" s="22" t="s">
        <v>46</v>
      </c>
      <c r="TJI47" s="8" t="s">
        <v>433</v>
      </c>
      <c r="TJJ47" s="32" t="s">
        <v>92</v>
      </c>
      <c r="TJK47" s="8" t="s">
        <v>132</v>
      </c>
      <c r="TJL47" s="22" t="s">
        <v>46</v>
      </c>
      <c r="TJM47" s="8" t="s">
        <v>433</v>
      </c>
      <c r="TJN47" s="32" t="s">
        <v>92</v>
      </c>
      <c r="TJO47" s="8" t="s">
        <v>132</v>
      </c>
      <c r="TJP47" s="22" t="s">
        <v>46</v>
      </c>
      <c r="TJQ47" s="8" t="s">
        <v>433</v>
      </c>
      <c r="TJR47" s="32" t="s">
        <v>92</v>
      </c>
      <c r="TJS47" s="8" t="s">
        <v>132</v>
      </c>
      <c r="TJT47" s="22" t="s">
        <v>46</v>
      </c>
      <c r="TJU47" s="8" t="s">
        <v>433</v>
      </c>
      <c r="TJV47" s="32" t="s">
        <v>92</v>
      </c>
      <c r="TJW47" s="8" t="s">
        <v>132</v>
      </c>
      <c r="TJX47" s="22" t="s">
        <v>46</v>
      </c>
      <c r="TJY47" s="8" t="s">
        <v>433</v>
      </c>
      <c r="TJZ47" s="32" t="s">
        <v>92</v>
      </c>
      <c r="TKA47" s="8" t="s">
        <v>132</v>
      </c>
      <c r="TKB47" s="22" t="s">
        <v>46</v>
      </c>
      <c r="TKC47" s="8" t="s">
        <v>433</v>
      </c>
      <c r="TKD47" s="32" t="s">
        <v>92</v>
      </c>
      <c r="TKE47" s="8" t="s">
        <v>132</v>
      </c>
      <c r="TKF47" s="22" t="s">
        <v>46</v>
      </c>
      <c r="TKG47" s="8" t="s">
        <v>433</v>
      </c>
      <c r="TKH47" s="32" t="s">
        <v>92</v>
      </c>
      <c r="TKI47" s="8" t="s">
        <v>132</v>
      </c>
      <c r="TKJ47" s="22" t="s">
        <v>46</v>
      </c>
      <c r="TKK47" s="8" t="s">
        <v>433</v>
      </c>
      <c r="TKL47" s="32" t="s">
        <v>92</v>
      </c>
      <c r="TKM47" s="8" t="s">
        <v>132</v>
      </c>
      <c r="TKN47" s="22" t="s">
        <v>46</v>
      </c>
      <c r="TKO47" s="8" t="s">
        <v>433</v>
      </c>
      <c r="TKP47" s="32" t="s">
        <v>92</v>
      </c>
      <c r="TKQ47" s="8" t="s">
        <v>132</v>
      </c>
      <c r="TKR47" s="22" t="s">
        <v>46</v>
      </c>
      <c r="TKS47" s="8" t="s">
        <v>433</v>
      </c>
      <c r="TKT47" s="32" t="s">
        <v>92</v>
      </c>
      <c r="TKU47" s="8" t="s">
        <v>132</v>
      </c>
      <c r="TKV47" s="22" t="s">
        <v>46</v>
      </c>
      <c r="TKW47" s="8" t="s">
        <v>433</v>
      </c>
      <c r="TKX47" s="32" t="s">
        <v>92</v>
      </c>
      <c r="TKY47" s="8" t="s">
        <v>132</v>
      </c>
      <c r="TKZ47" s="22" t="s">
        <v>46</v>
      </c>
      <c r="TLA47" s="8" t="s">
        <v>433</v>
      </c>
      <c r="TLB47" s="32" t="s">
        <v>92</v>
      </c>
      <c r="TLC47" s="8" t="s">
        <v>132</v>
      </c>
      <c r="TLD47" s="22" t="s">
        <v>46</v>
      </c>
      <c r="TLE47" s="8" t="s">
        <v>433</v>
      </c>
      <c r="TLF47" s="32" t="s">
        <v>92</v>
      </c>
      <c r="TLG47" s="8" t="s">
        <v>132</v>
      </c>
      <c r="TLH47" s="22" t="s">
        <v>46</v>
      </c>
      <c r="TLI47" s="8" t="s">
        <v>433</v>
      </c>
      <c r="TLJ47" s="32" t="s">
        <v>92</v>
      </c>
      <c r="TLK47" s="8" t="s">
        <v>132</v>
      </c>
      <c r="TLL47" s="22" t="s">
        <v>46</v>
      </c>
      <c r="TLM47" s="8" t="s">
        <v>433</v>
      </c>
      <c r="TLN47" s="32" t="s">
        <v>92</v>
      </c>
      <c r="TLO47" s="8" t="s">
        <v>132</v>
      </c>
      <c r="TLP47" s="22" t="s">
        <v>46</v>
      </c>
      <c r="TLQ47" s="8" t="s">
        <v>433</v>
      </c>
      <c r="TLR47" s="32" t="s">
        <v>92</v>
      </c>
      <c r="TLS47" s="8" t="s">
        <v>132</v>
      </c>
      <c r="TLT47" s="22" t="s">
        <v>46</v>
      </c>
      <c r="TLU47" s="8" t="s">
        <v>433</v>
      </c>
      <c r="TLV47" s="32" t="s">
        <v>92</v>
      </c>
      <c r="TLW47" s="8" t="s">
        <v>132</v>
      </c>
      <c r="TLX47" s="22" t="s">
        <v>46</v>
      </c>
      <c r="TLY47" s="8" t="s">
        <v>433</v>
      </c>
      <c r="TLZ47" s="32" t="s">
        <v>92</v>
      </c>
      <c r="TMA47" s="8" t="s">
        <v>132</v>
      </c>
      <c r="TMB47" s="22" t="s">
        <v>46</v>
      </c>
      <c r="TMC47" s="8" t="s">
        <v>433</v>
      </c>
      <c r="TMD47" s="32" t="s">
        <v>92</v>
      </c>
      <c r="TME47" s="8" t="s">
        <v>132</v>
      </c>
      <c r="TMF47" s="22" t="s">
        <v>46</v>
      </c>
      <c r="TMG47" s="8" t="s">
        <v>433</v>
      </c>
      <c r="TMH47" s="32" t="s">
        <v>92</v>
      </c>
      <c r="TMI47" s="8" t="s">
        <v>132</v>
      </c>
      <c r="TMJ47" s="22" t="s">
        <v>46</v>
      </c>
      <c r="TMK47" s="8" t="s">
        <v>433</v>
      </c>
      <c r="TML47" s="32" t="s">
        <v>92</v>
      </c>
      <c r="TMM47" s="8" t="s">
        <v>132</v>
      </c>
      <c r="TMN47" s="22" t="s">
        <v>46</v>
      </c>
      <c r="TMO47" s="8" t="s">
        <v>433</v>
      </c>
      <c r="TMP47" s="32" t="s">
        <v>92</v>
      </c>
      <c r="TMQ47" s="8" t="s">
        <v>132</v>
      </c>
      <c r="TMR47" s="22" t="s">
        <v>46</v>
      </c>
      <c r="TMS47" s="8" t="s">
        <v>433</v>
      </c>
      <c r="TMT47" s="32" t="s">
        <v>92</v>
      </c>
      <c r="TMU47" s="8" t="s">
        <v>132</v>
      </c>
      <c r="TMV47" s="22" t="s">
        <v>46</v>
      </c>
      <c r="TMW47" s="8" t="s">
        <v>433</v>
      </c>
      <c r="TMX47" s="32" t="s">
        <v>92</v>
      </c>
      <c r="TMY47" s="8" t="s">
        <v>132</v>
      </c>
      <c r="TMZ47" s="22" t="s">
        <v>46</v>
      </c>
      <c r="TNA47" s="8" t="s">
        <v>433</v>
      </c>
      <c r="TNB47" s="32" t="s">
        <v>92</v>
      </c>
      <c r="TNC47" s="8" t="s">
        <v>132</v>
      </c>
      <c r="TND47" s="22" t="s">
        <v>46</v>
      </c>
      <c r="TNE47" s="8" t="s">
        <v>433</v>
      </c>
      <c r="TNF47" s="32" t="s">
        <v>92</v>
      </c>
      <c r="TNG47" s="8" t="s">
        <v>132</v>
      </c>
      <c r="TNH47" s="22" t="s">
        <v>46</v>
      </c>
      <c r="TNI47" s="8" t="s">
        <v>433</v>
      </c>
      <c r="TNJ47" s="32" t="s">
        <v>92</v>
      </c>
      <c r="TNK47" s="8" t="s">
        <v>132</v>
      </c>
      <c r="TNL47" s="22" t="s">
        <v>46</v>
      </c>
      <c r="TNM47" s="8" t="s">
        <v>433</v>
      </c>
      <c r="TNN47" s="32" t="s">
        <v>92</v>
      </c>
      <c r="TNO47" s="8" t="s">
        <v>132</v>
      </c>
      <c r="TNP47" s="22" t="s">
        <v>46</v>
      </c>
      <c r="TNQ47" s="8" t="s">
        <v>433</v>
      </c>
      <c r="TNR47" s="32" t="s">
        <v>92</v>
      </c>
      <c r="TNS47" s="8" t="s">
        <v>132</v>
      </c>
      <c r="TNT47" s="22" t="s">
        <v>46</v>
      </c>
      <c r="TNU47" s="8" t="s">
        <v>433</v>
      </c>
      <c r="TNV47" s="32" t="s">
        <v>92</v>
      </c>
      <c r="TNW47" s="8" t="s">
        <v>132</v>
      </c>
      <c r="TNX47" s="22" t="s">
        <v>46</v>
      </c>
      <c r="TNY47" s="8" t="s">
        <v>433</v>
      </c>
      <c r="TNZ47" s="32" t="s">
        <v>92</v>
      </c>
      <c r="TOA47" s="8" t="s">
        <v>132</v>
      </c>
      <c r="TOB47" s="22" t="s">
        <v>46</v>
      </c>
      <c r="TOC47" s="8" t="s">
        <v>433</v>
      </c>
      <c r="TOD47" s="32" t="s">
        <v>92</v>
      </c>
      <c r="TOE47" s="8" t="s">
        <v>132</v>
      </c>
      <c r="TOF47" s="22" t="s">
        <v>46</v>
      </c>
      <c r="TOG47" s="8" t="s">
        <v>433</v>
      </c>
      <c r="TOH47" s="32" t="s">
        <v>92</v>
      </c>
      <c r="TOI47" s="8" t="s">
        <v>132</v>
      </c>
      <c r="TOJ47" s="22" t="s">
        <v>46</v>
      </c>
      <c r="TOK47" s="8" t="s">
        <v>433</v>
      </c>
      <c r="TOL47" s="32" t="s">
        <v>92</v>
      </c>
      <c r="TOM47" s="8" t="s">
        <v>132</v>
      </c>
      <c r="TON47" s="22" t="s">
        <v>46</v>
      </c>
      <c r="TOO47" s="8" t="s">
        <v>433</v>
      </c>
      <c r="TOP47" s="32" t="s">
        <v>92</v>
      </c>
      <c r="TOQ47" s="8" t="s">
        <v>132</v>
      </c>
      <c r="TOR47" s="22" t="s">
        <v>46</v>
      </c>
      <c r="TOS47" s="8" t="s">
        <v>433</v>
      </c>
      <c r="TOT47" s="32" t="s">
        <v>92</v>
      </c>
      <c r="TOU47" s="8" t="s">
        <v>132</v>
      </c>
      <c r="TOV47" s="22" t="s">
        <v>46</v>
      </c>
      <c r="TOW47" s="8" t="s">
        <v>433</v>
      </c>
      <c r="TOX47" s="32" t="s">
        <v>92</v>
      </c>
      <c r="TOY47" s="8" t="s">
        <v>132</v>
      </c>
      <c r="TOZ47" s="22" t="s">
        <v>46</v>
      </c>
      <c r="TPA47" s="8" t="s">
        <v>433</v>
      </c>
      <c r="TPB47" s="32" t="s">
        <v>92</v>
      </c>
      <c r="TPC47" s="8" t="s">
        <v>132</v>
      </c>
      <c r="TPD47" s="22" t="s">
        <v>46</v>
      </c>
      <c r="TPE47" s="8" t="s">
        <v>433</v>
      </c>
      <c r="TPF47" s="32" t="s">
        <v>92</v>
      </c>
      <c r="TPG47" s="8" t="s">
        <v>132</v>
      </c>
      <c r="TPH47" s="22" t="s">
        <v>46</v>
      </c>
      <c r="TPI47" s="8" t="s">
        <v>433</v>
      </c>
      <c r="TPJ47" s="32" t="s">
        <v>92</v>
      </c>
      <c r="TPK47" s="8" t="s">
        <v>132</v>
      </c>
      <c r="TPL47" s="22" t="s">
        <v>46</v>
      </c>
      <c r="TPM47" s="8" t="s">
        <v>433</v>
      </c>
      <c r="TPN47" s="32" t="s">
        <v>92</v>
      </c>
      <c r="TPO47" s="8" t="s">
        <v>132</v>
      </c>
      <c r="TPP47" s="22" t="s">
        <v>46</v>
      </c>
      <c r="TPQ47" s="8" t="s">
        <v>433</v>
      </c>
      <c r="TPR47" s="32" t="s">
        <v>92</v>
      </c>
      <c r="TPS47" s="8" t="s">
        <v>132</v>
      </c>
      <c r="TPT47" s="22" t="s">
        <v>46</v>
      </c>
      <c r="TPU47" s="8" t="s">
        <v>433</v>
      </c>
      <c r="TPV47" s="32" t="s">
        <v>92</v>
      </c>
      <c r="TPW47" s="8" t="s">
        <v>132</v>
      </c>
      <c r="TPX47" s="22" t="s">
        <v>46</v>
      </c>
      <c r="TPY47" s="8" t="s">
        <v>433</v>
      </c>
      <c r="TPZ47" s="32" t="s">
        <v>92</v>
      </c>
      <c r="TQA47" s="8" t="s">
        <v>132</v>
      </c>
      <c r="TQB47" s="22" t="s">
        <v>46</v>
      </c>
      <c r="TQC47" s="8" t="s">
        <v>433</v>
      </c>
      <c r="TQD47" s="32" t="s">
        <v>92</v>
      </c>
      <c r="TQE47" s="8" t="s">
        <v>132</v>
      </c>
      <c r="TQF47" s="22" t="s">
        <v>46</v>
      </c>
      <c r="TQG47" s="8" t="s">
        <v>433</v>
      </c>
      <c r="TQH47" s="32" t="s">
        <v>92</v>
      </c>
      <c r="TQI47" s="8" t="s">
        <v>132</v>
      </c>
      <c r="TQJ47" s="22" t="s">
        <v>46</v>
      </c>
      <c r="TQK47" s="8" t="s">
        <v>433</v>
      </c>
      <c r="TQL47" s="32" t="s">
        <v>92</v>
      </c>
      <c r="TQM47" s="8" t="s">
        <v>132</v>
      </c>
      <c r="TQN47" s="22" t="s">
        <v>46</v>
      </c>
      <c r="TQO47" s="8" t="s">
        <v>433</v>
      </c>
      <c r="TQP47" s="32" t="s">
        <v>92</v>
      </c>
      <c r="TQQ47" s="8" t="s">
        <v>132</v>
      </c>
      <c r="TQR47" s="22" t="s">
        <v>46</v>
      </c>
      <c r="TQS47" s="8" t="s">
        <v>433</v>
      </c>
      <c r="TQT47" s="32" t="s">
        <v>92</v>
      </c>
      <c r="TQU47" s="8" t="s">
        <v>132</v>
      </c>
      <c r="TQV47" s="22" t="s">
        <v>46</v>
      </c>
      <c r="TQW47" s="8" t="s">
        <v>433</v>
      </c>
      <c r="TQX47" s="32" t="s">
        <v>92</v>
      </c>
      <c r="TQY47" s="8" t="s">
        <v>132</v>
      </c>
      <c r="TQZ47" s="22" t="s">
        <v>46</v>
      </c>
      <c r="TRA47" s="8" t="s">
        <v>433</v>
      </c>
      <c r="TRB47" s="32" t="s">
        <v>92</v>
      </c>
      <c r="TRC47" s="8" t="s">
        <v>132</v>
      </c>
      <c r="TRD47" s="22" t="s">
        <v>46</v>
      </c>
      <c r="TRE47" s="8" t="s">
        <v>433</v>
      </c>
      <c r="TRF47" s="32" t="s">
        <v>92</v>
      </c>
      <c r="TRG47" s="8" t="s">
        <v>132</v>
      </c>
      <c r="TRH47" s="22" t="s">
        <v>46</v>
      </c>
      <c r="TRI47" s="8" t="s">
        <v>433</v>
      </c>
      <c r="TRJ47" s="32" t="s">
        <v>92</v>
      </c>
      <c r="TRK47" s="8" t="s">
        <v>132</v>
      </c>
      <c r="TRL47" s="22" t="s">
        <v>46</v>
      </c>
      <c r="TRM47" s="8" t="s">
        <v>433</v>
      </c>
      <c r="TRN47" s="32" t="s">
        <v>92</v>
      </c>
      <c r="TRO47" s="8" t="s">
        <v>132</v>
      </c>
      <c r="TRP47" s="22" t="s">
        <v>46</v>
      </c>
      <c r="TRQ47" s="8" t="s">
        <v>433</v>
      </c>
      <c r="TRR47" s="32" t="s">
        <v>92</v>
      </c>
      <c r="TRS47" s="8" t="s">
        <v>132</v>
      </c>
      <c r="TRT47" s="22" t="s">
        <v>46</v>
      </c>
      <c r="TRU47" s="8" t="s">
        <v>433</v>
      </c>
      <c r="TRV47" s="32" t="s">
        <v>92</v>
      </c>
      <c r="TRW47" s="8" t="s">
        <v>132</v>
      </c>
      <c r="TRX47" s="22" t="s">
        <v>46</v>
      </c>
      <c r="TRY47" s="8" t="s">
        <v>433</v>
      </c>
      <c r="TRZ47" s="32" t="s">
        <v>92</v>
      </c>
      <c r="TSA47" s="8" t="s">
        <v>132</v>
      </c>
      <c r="TSB47" s="22" t="s">
        <v>46</v>
      </c>
      <c r="TSC47" s="8" t="s">
        <v>433</v>
      </c>
      <c r="TSD47" s="32" t="s">
        <v>92</v>
      </c>
      <c r="TSE47" s="8" t="s">
        <v>132</v>
      </c>
      <c r="TSF47" s="22" t="s">
        <v>46</v>
      </c>
      <c r="TSG47" s="8" t="s">
        <v>433</v>
      </c>
      <c r="TSH47" s="32" t="s">
        <v>92</v>
      </c>
      <c r="TSI47" s="8" t="s">
        <v>132</v>
      </c>
      <c r="TSJ47" s="22" t="s">
        <v>46</v>
      </c>
      <c r="TSK47" s="8" t="s">
        <v>433</v>
      </c>
      <c r="TSL47" s="32" t="s">
        <v>92</v>
      </c>
      <c r="TSM47" s="8" t="s">
        <v>132</v>
      </c>
      <c r="TSN47" s="22" t="s">
        <v>46</v>
      </c>
      <c r="TSO47" s="8" t="s">
        <v>433</v>
      </c>
      <c r="TSP47" s="32" t="s">
        <v>92</v>
      </c>
      <c r="TSQ47" s="8" t="s">
        <v>132</v>
      </c>
      <c r="TSR47" s="22" t="s">
        <v>46</v>
      </c>
      <c r="TSS47" s="8" t="s">
        <v>433</v>
      </c>
      <c r="TST47" s="32" t="s">
        <v>92</v>
      </c>
      <c r="TSU47" s="8" t="s">
        <v>132</v>
      </c>
      <c r="TSV47" s="22" t="s">
        <v>46</v>
      </c>
      <c r="TSW47" s="8" t="s">
        <v>433</v>
      </c>
      <c r="TSX47" s="32" t="s">
        <v>92</v>
      </c>
      <c r="TSY47" s="8" t="s">
        <v>132</v>
      </c>
      <c r="TSZ47" s="22" t="s">
        <v>46</v>
      </c>
      <c r="TTA47" s="8" t="s">
        <v>433</v>
      </c>
      <c r="TTB47" s="32" t="s">
        <v>92</v>
      </c>
      <c r="TTC47" s="8" t="s">
        <v>132</v>
      </c>
      <c r="TTD47" s="22" t="s">
        <v>46</v>
      </c>
      <c r="TTE47" s="8" t="s">
        <v>433</v>
      </c>
      <c r="TTF47" s="32" t="s">
        <v>92</v>
      </c>
      <c r="TTG47" s="8" t="s">
        <v>132</v>
      </c>
      <c r="TTH47" s="22" t="s">
        <v>46</v>
      </c>
      <c r="TTI47" s="8" t="s">
        <v>433</v>
      </c>
      <c r="TTJ47" s="32" t="s">
        <v>92</v>
      </c>
      <c r="TTK47" s="8" t="s">
        <v>132</v>
      </c>
      <c r="TTL47" s="22" t="s">
        <v>46</v>
      </c>
      <c r="TTM47" s="8" t="s">
        <v>433</v>
      </c>
      <c r="TTN47" s="32" t="s">
        <v>92</v>
      </c>
      <c r="TTO47" s="8" t="s">
        <v>132</v>
      </c>
      <c r="TTP47" s="22" t="s">
        <v>46</v>
      </c>
      <c r="TTQ47" s="8" t="s">
        <v>433</v>
      </c>
      <c r="TTR47" s="32" t="s">
        <v>92</v>
      </c>
      <c r="TTS47" s="8" t="s">
        <v>132</v>
      </c>
      <c r="TTT47" s="22" t="s">
        <v>46</v>
      </c>
      <c r="TTU47" s="8" t="s">
        <v>433</v>
      </c>
      <c r="TTV47" s="32" t="s">
        <v>92</v>
      </c>
      <c r="TTW47" s="8" t="s">
        <v>132</v>
      </c>
      <c r="TTX47" s="22" t="s">
        <v>46</v>
      </c>
      <c r="TTY47" s="8" t="s">
        <v>433</v>
      </c>
      <c r="TTZ47" s="32" t="s">
        <v>92</v>
      </c>
      <c r="TUA47" s="8" t="s">
        <v>132</v>
      </c>
      <c r="TUB47" s="22" t="s">
        <v>46</v>
      </c>
      <c r="TUC47" s="8" t="s">
        <v>433</v>
      </c>
      <c r="TUD47" s="32" t="s">
        <v>92</v>
      </c>
      <c r="TUE47" s="8" t="s">
        <v>132</v>
      </c>
      <c r="TUF47" s="22" t="s">
        <v>46</v>
      </c>
      <c r="TUG47" s="8" t="s">
        <v>433</v>
      </c>
      <c r="TUH47" s="32" t="s">
        <v>92</v>
      </c>
      <c r="TUI47" s="8" t="s">
        <v>132</v>
      </c>
      <c r="TUJ47" s="22" t="s">
        <v>46</v>
      </c>
      <c r="TUK47" s="8" t="s">
        <v>433</v>
      </c>
      <c r="TUL47" s="32" t="s">
        <v>92</v>
      </c>
      <c r="TUM47" s="8" t="s">
        <v>132</v>
      </c>
      <c r="TUN47" s="22" t="s">
        <v>46</v>
      </c>
      <c r="TUO47" s="8" t="s">
        <v>433</v>
      </c>
      <c r="TUP47" s="32" t="s">
        <v>92</v>
      </c>
      <c r="TUQ47" s="8" t="s">
        <v>132</v>
      </c>
      <c r="TUR47" s="22" t="s">
        <v>46</v>
      </c>
      <c r="TUS47" s="8" t="s">
        <v>433</v>
      </c>
      <c r="TUT47" s="32" t="s">
        <v>92</v>
      </c>
      <c r="TUU47" s="8" t="s">
        <v>132</v>
      </c>
      <c r="TUV47" s="22" t="s">
        <v>46</v>
      </c>
      <c r="TUW47" s="8" t="s">
        <v>433</v>
      </c>
      <c r="TUX47" s="32" t="s">
        <v>92</v>
      </c>
      <c r="TUY47" s="8" t="s">
        <v>132</v>
      </c>
      <c r="TUZ47" s="22" t="s">
        <v>46</v>
      </c>
      <c r="TVA47" s="8" t="s">
        <v>433</v>
      </c>
      <c r="TVB47" s="32" t="s">
        <v>92</v>
      </c>
      <c r="TVC47" s="8" t="s">
        <v>132</v>
      </c>
      <c r="TVD47" s="22" t="s">
        <v>46</v>
      </c>
      <c r="TVE47" s="8" t="s">
        <v>433</v>
      </c>
      <c r="TVF47" s="32" t="s">
        <v>92</v>
      </c>
      <c r="TVG47" s="8" t="s">
        <v>132</v>
      </c>
      <c r="TVH47" s="22" t="s">
        <v>46</v>
      </c>
      <c r="TVI47" s="8" t="s">
        <v>433</v>
      </c>
      <c r="TVJ47" s="32" t="s">
        <v>92</v>
      </c>
      <c r="TVK47" s="8" t="s">
        <v>132</v>
      </c>
      <c r="TVL47" s="22" t="s">
        <v>46</v>
      </c>
      <c r="TVM47" s="8" t="s">
        <v>433</v>
      </c>
      <c r="TVN47" s="32" t="s">
        <v>92</v>
      </c>
      <c r="TVO47" s="8" t="s">
        <v>132</v>
      </c>
      <c r="TVP47" s="22" t="s">
        <v>46</v>
      </c>
      <c r="TVQ47" s="8" t="s">
        <v>433</v>
      </c>
      <c r="TVR47" s="32" t="s">
        <v>92</v>
      </c>
      <c r="TVS47" s="8" t="s">
        <v>132</v>
      </c>
      <c r="TVT47" s="22" t="s">
        <v>46</v>
      </c>
      <c r="TVU47" s="8" t="s">
        <v>433</v>
      </c>
      <c r="TVV47" s="32" t="s">
        <v>92</v>
      </c>
      <c r="TVW47" s="8" t="s">
        <v>132</v>
      </c>
      <c r="TVX47" s="22" t="s">
        <v>46</v>
      </c>
      <c r="TVY47" s="8" t="s">
        <v>433</v>
      </c>
      <c r="TVZ47" s="32" t="s">
        <v>92</v>
      </c>
      <c r="TWA47" s="8" t="s">
        <v>132</v>
      </c>
      <c r="TWB47" s="22" t="s">
        <v>46</v>
      </c>
      <c r="TWC47" s="8" t="s">
        <v>433</v>
      </c>
      <c r="TWD47" s="32" t="s">
        <v>92</v>
      </c>
      <c r="TWE47" s="8" t="s">
        <v>132</v>
      </c>
      <c r="TWF47" s="22" t="s">
        <v>46</v>
      </c>
      <c r="TWG47" s="8" t="s">
        <v>433</v>
      </c>
      <c r="TWH47" s="32" t="s">
        <v>92</v>
      </c>
      <c r="TWI47" s="8" t="s">
        <v>132</v>
      </c>
      <c r="TWJ47" s="22" t="s">
        <v>46</v>
      </c>
      <c r="TWK47" s="8" t="s">
        <v>433</v>
      </c>
      <c r="TWL47" s="32" t="s">
        <v>92</v>
      </c>
      <c r="TWM47" s="8" t="s">
        <v>132</v>
      </c>
      <c r="TWN47" s="22" t="s">
        <v>46</v>
      </c>
      <c r="TWO47" s="8" t="s">
        <v>433</v>
      </c>
      <c r="TWP47" s="32" t="s">
        <v>92</v>
      </c>
      <c r="TWQ47" s="8" t="s">
        <v>132</v>
      </c>
      <c r="TWR47" s="22" t="s">
        <v>46</v>
      </c>
      <c r="TWS47" s="8" t="s">
        <v>433</v>
      </c>
      <c r="TWT47" s="32" t="s">
        <v>92</v>
      </c>
      <c r="TWU47" s="8" t="s">
        <v>132</v>
      </c>
      <c r="TWV47" s="22" t="s">
        <v>46</v>
      </c>
      <c r="TWW47" s="8" t="s">
        <v>433</v>
      </c>
      <c r="TWX47" s="32" t="s">
        <v>92</v>
      </c>
      <c r="TWY47" s="8" t="s">
        <v>132</v>
      </c>
      <c r="TWZ47" s="22" t="s">
        <v>46</v>
      </c>
      <c r="TXA47" s="8" t="s">
        <v>433</v>
      </c>
      <c r="TXB47" s="32" t="s">
        <v>92</v>
      </c>
      <c r="TXC47" s="8" t="s">
        <v>132</v>
      </c>
      <c r="TXD47" s="22" t="s">
        <v>46</v>
      </c>
      <c r="TXE47" s="8" t="s">
        <v>433</v>
      </c>
      <c r="TXF47" s="32" t="s">
        <v>92</v>
      </c>
      <c r="TXG47" s="8" t="s">
        <v>132</v>
      </c>
      <c r="TXH47" s="22" t="s">
        <v>46</v>
      </c>
      <c r="TXI47" s="8" t="s">
        <v>433</v>
      </c>
      <c r="TXJ47" s="32" t="s">
        <v>92</v>
      </c>
      <c r="TXK47" s="8" t="s">
        <v>132</v>
      </c>
      <c r="TXL47" s="22" t="s">
        <v>46</v>
      </c>
      <c r="TXM47" s="8" t="s">
        <v>433</v>
      </c>
      <c r="TXN47" s="32" t="s">
        <v>92</v>
      </c>
      <c r="TXO47" s="8" t="s">
        <v>132</v>
      </c>
      <c r="TXP47" s="22" t="s">
        <v>46</v>
      </c>
      <c r="TXQ47" s="8" t="s">
        <v>433</v>
      </c>
      <c r="TXR47" s="32" t="s">
        <v>92</v>
      </c>
      <c r="TXS47" s="8" t="s">
        <v>132</v>
      </c>
      <c r="TXT47" s="22" t="s">
        <v>46</v>
      </c>
      <c r="TXU47" s="8" t="s">
        <v>433</v>
      </c>
      <c r="TXV47" s="32" t="s">
        <v>92</v>
      </c>
      <c r="TXW47" s="8" t="s">
        <v>132</v>
      </c>
      <c r="TXX47" s="22" t="s">
        <v>46</v>
      </c>
      <c r="TXY47" s="8" t="s">
        <v>433</v>
      </c>
      <c r="TXZ47" s="32" t="s">
        <v>92</v>
      </c>
      <c r="TYA47" s="8" t="s">
        <v>132</v>
      </c>
      <c r="TYB47" s="22" t="s">
        <v>46</v>
      </c>
      <c r="TYC47" s="8" t="s">
        <v>433</v>
      </c>
      <c r="TYD47" s="32" t="s">
        <v>92</v>
      </c>
      <c r="TYE47" s="8" t="s">
        <v>132</v>
      </c>
      <c r="TYF47" s="22" t="s">
        <v>46</v>
      </c>
      <c r="TYG47" s="8" t="s">
        <v>433</v>
      </c>
      <c r="TYH47" s="32" t="s">
        <v>92</v>
      </c>
      <c r="TYI47" s="8" t="s">
        <v>132</v>
      </c>
      <c r="TYJ47" s="22" t="s">
        <v>46</v>
      </c>
      <c r="TYK47" s="8" t="s">
        <v>433</v>
      </c>
      <c r="TYL47" s="32" t="s">
        <v>92</v>
      </c>
      <c r="TYM47" s="8" t="s">
        <v>132</v>
      </c>
      <c r="TYN47" s="22" t="s">
        <v>46</v>
      </c>
      <c r="TYO47" s="8" t="s">
        <v>433</v>
      </c>
      <c r="TYP47" s="32" t="s">
        <v>92</v>
      </c>
      <c r="TYQ47" s="8" t="s">
        <v>132</v>
      </c>
      <c r="TYR47" s="22" t="s">
        <v>46</v>
      </c>
      <c r="TYS47" s="8" t="s">
        <v>433</v>
      </c>
      <c r="TYT47" s="32" t="s">
        <v>92</v>
      </c>
      <c r="TYU47" s="8" t="s">
        <v>132</v>
      </c>
      <c r="TYV47" s="22" t="s">
        <v>46</v>
      </c>
      <c r="TYW47" s="8" t="s">
        <v>433</v>
      </c>
      <c r="TYX47" s="32" t="s">
        <v>92</v>
      </c>
      <c r="TYY47" s="8" t="s">
        <v>132</v>
      </c>
      <c r="TYZ47" s="22" t="s">
        <v>46</v>
      </c>
      <c r="TZA47" s="8" t="s">
        <v>433</v>
      </c>
      <c r="TZB47" s="32" t="s">
        <v>92</v>
      </c>
      <c r="TZC47" s="8" t="s">
        <v>132</v>
      </c>
      <c r="TZD47" s="22" t="s">
        <v>46</v>
      </c>
      <c r="TZE47" s="8" t="s">
        <v>433</v>
      </c>
      <c r="TZF47" s="32" t="s">
        <v>92</v>
      </c>
      <c r="TZG47" s="8" t="s">
        <v>132</v>
      </c>
      <c r="TZH47" s="22" t="s">
        <v>46</v>
      </c>
      <c r="TZI47" s="8" t="s">
        <v>433</v>
      </c>
      <c r="TZJ47" s="32" t="s">
        <v>92</v>
      </c>
      <c r="TZK47" s="8" t="s">
        <v>132</v>
      </c>
      <c r="TZL47" s="22" t="s">
        <v>46</v>
      </c>
      <c r="TZM47" s="8" t="s">
        <v>433</v>
      </c>
      <c r="TZN47" s="32" t="s">
        <v>92</v>
      </c>
      <c r="TZO47" s="8" t="s">
        <v>132</v>
      </c>
      <c r="TZP47" s="22" t="s">
        <v>46</v>
      </c>
      <c r="TZQ47" s="8" t="s">
        <v>433</v>
      </c>
      <c r="TZR47" s="32" t="s">
        <v>92</v>
      </c>
      <c r="TZS47" s="8" t="s">
        <v>132</v>
      </c>
      <c r="TZT47" s="22" t="s">
        <v>46</v>
      </c>
      <c r="TZU47" s="8" t="s">
        <v>433</v>
      </c>
      <c r="TZV47" s="32" t="s">
        <v>92</v>
      </c>
      <c r="TZW47" s="8" t="s">
        <v>132</v>
      </c>
      <c r="TZX47" s="22" t="s">
        <v>46</v>
      </c>
      <c r="TZY47" s="8" t="s">
        <v>433</v>
      </c>
      <c r="TZZ47" s="32" t="s">
        <v>92</v>
      </c>
      <c r="UAA47" s="8" t="s">
        <v>132</v>
      </c>
      <c r="UAB47" s="22" t="s">
        <v>46</v>
      </c>
      <c r="UAC47" s="8" t="s">
        <v>433</v>
      </c>
      <c r="UAD47" s="32" t="s">
        <v>92</v>
      </c>
      <c r="UAE47" s="8" t="s">
        <v>132</v>
      </c>
      <c r="UAF47" s="22" t="s">
        <v>46</v>
      </c>
      <c r="UAG47" s="8" t="s">
        <v>433</v>
      </c>
      <c r="UAH47" s="32" t="s">
        <v>92</v>
      </c>
      <c r="UAI47" s="8" t="s">
        <v>132</v>
      </c>
      <c r="UAJ47" s="22" t="s">
        <v>46</v>
      </c>
      <c r="UAK47" s="8" t="s">
        <v>433</v>
      </c>
      <c r="UAL47" s="32" t="s">
        <v>92</v>
      </c>
      <c r="UAM47" s="8" t="s">
        <v>132</v>
      </c>
      <c r="UAN47" s="22" t="s">
        <v>46</v>
      </c>
      <c r="UAO47" s="8" t="s">
        <v>433</v>
      </c>
      <c r="UAP47" s="32" t="s">
        <v>92</v>
      </c>
      <c r="UAQ47" s="8" t="s">
        <v>132</v>
      </c>
      <c r="UAR47" s="22" t="s">
        <v>46</v>
      </c>
      <c r="UAS47" s="8" t="s">
        <v>433</v>
      </c>
      <c r="UAT47" s="32" t="s">
        <v>92</v>
      </c>
      <c r="UAU47" s="8" t="s">
        <v>132</v>
      </c>
      <c r="UAV47" s="22" t="s">
        <v>46</v>
      </c>
      <c r="UAW47" s="8" t="s">
        <v>433</v>
      </c>
      <c r="UAX47" s="32" t="s">
        <v>92</v>
      </c>
      <c r="UAY47" s="8" t="s">
        <v>132</v>
      </c>
      <c r="UAZ47" s="22" t="s">
        <v>46</v>
      </c>
      <c r="UBA47" s="8" t="s">
        <v>433</v>
      </c>
      <c r="UBB47" s="32" t="s">
        <v>92</v>
      </c>
      <c r="UBC47" s="8" t="s">
        <v>132</v>
      </c>
      <c r="UBD47" s="22" t="s">
        <v>46</v>
      </c>
      <c r="UBE47" s="8" t="s">
        <v>433</v>
      </c>
      <c r="UBF47" s="32" t="s">
        <v>92</v>
      </c>
      <c r="UBG47" s="8" t="s">
        <v>132</v>
      </c>
      <c r="UBH47" s="22" t="s">
        <v>46</v>
      </c>
      <c r="UBI47" s="8" t="s">
        <v>433</v>
      </c>
      <c r="UBJ47" s="32" t="s">
        <v>92</v>
      </c>
      <c r="UBK47" s="8" t="s">
        <v>132</v>
      </c>
      <c r="UBL47" s="22" t="s">
        <v>46</v>
      </c>
      <c r="UBM47" s="8" t="s">
        <v>433</v>
      </c>
      <c r="UBN47" s="32" t="s">
        <v>92</v>
      </c>
      <c r="UBO47" s="8" t="s">
        <v>132</v>
      </c>
      <c r="UBP47" s="22" t="s">
        <v>46</v>
      </c>
      <c r="UBQ47" s="8" t="s">
        <v>433</v>
      </c>
      <c r="UBR47" s="32" t="s">
        <v>92</v>
      </c>
      <c r="UBS47" s="8" t="s">
        <v>132</v>
      </c>
      <c r="UBT47" s="22" t="s">
        <v>46</v>
      </c>
      <c r="UBU47" s="8" t="s">
        <v>433</v>
      </c>
      <c r="UBV47" s="32" t="s">
        <v>92</v>
      </c>
      <c r="UBW47" s="8" t="s">
        <v>132</v>
      </c>
      <c r="UBX47" s="22" t="s">
        <v>46</v>
      </c>
      <c r="UBY47" s="8" t="s">
        <v>433</v>
      </c>
      <c r="UBZ47" s="32" t="s">
        <v>92</v>
      </c>
      <c r="UCA47" s="8" t="s">
        <v>132</v>
      </c>
      <c r="UCB47" s="22" t="s">
        <v>46</v>
      </c>
      <c r="UCC47" s="8" t="s">
        <v>433</v>
      </c>
      <c r="UCD47" s="32" t="s">
        <v>92</v>
      </c>
      <c r="UCE47" s="8" t="s">
        <v>132</v>
      </c>
      <c r="UCF47" s="22" t="s">
        <v>46</v>
      </c>
      <c r="UCG47" s="8" t="s">
        <v>433</v>
      </c>
      <c r="UCH47" s="32" t="s">
        <v>92</v>
      </c>
      <c r="UCI47" s="8" t="s">
        <v>132</v>
      </c>
      <c r="UCJ47" s="22" t="s">
        <v>46</v>
      </c>
      <c r="UCK47" s="8" t="s">
        <v>433</v>
      </c>
      <c r="UCL47" s="32" t="s">
        <v>92</v>
      </c>
      <c r="UCM47" s="8" t="s">
        <v>132</v>
      </c>
      <c r="UCN47" s="22" t="s">
        <v>46</v>
      </c>
      <c r="UCO47" s="8" t="s">
        <v>433</v>
      </c>
      <c r="UCP47" s="32" t="s">
        <v>92</v>
      </c>
      <c r="UCQ47" s="8" t="s">
        <v>132</v>
      </c>
      <c r="UCR47" s="22" t="s">
        <v>46</v>
      </c>
      <c r="UCS47" s="8" t="s">
        <v>433</v>
      </c>
      <c r="UCT47" s="32" t="s">
        <v>92</v>
      </c>
      <c r="UCU47" s="8" t="s">
        <v>132</v>
      </c>
      <c r="UCV47" s="22" t="s">
        <v>46</v>
      </c>
      <c r="UCW47" s="8" t="s">
        <v>433</v>
      </c>
      <c r="UCX47" s="32" t="s">
        <v>92</v>
      </c>
      <c r="UCY47" s="8" t="s">
        <v>132</v>
      </c>
      <c r="UCZ47" s="22" t="s">
        <v>46</v>
      </c>
      <c r="UDA47" s="8" t="s">
        <v>433</v>
      </c>
      <c r="UDB47" s="32" t="s">
        <v>92</v>
      </c>
      <c r="UDC47" s="8" t="s">
        <v>132</v>
      </c>
      <c r="UDD47" s="22" t="s">
        <v>46</v>
      </c>
      <c r="UDE47" s="8" t="s">
        <v>433</v>
      </c>
      <c r="UDF47" s="32" t="s">
        <v>92</v>
      </c>
      <c r="UDG47" s="8" t="s">
        <v>132</v>
      </c>
      <c r="UDH47" s="22" t="s">
        <v>46</v>
      </c>
      <c r="UDI47" s="8" t="s">
        <v>433</v>
      </c>
      <c r="UDJ47" s="32" t="s">
        <v>92</v>
      </c>
      <c r="UDK47" s="8" t="s">
        <v>132</v>
      </c>
      <c r="UDL47" s="22" t="s">
        <v>46</v>
      </c>
      <c r="UDM47" s="8" t="s">
        <v>433</v>
      </c>
      <c r="UDN47" s="32" t="s">
        <v>92</v>
      </c>
      <c r="UDO47" s="8" t="s">
        <v>132</v>
      </c>
      <c r="UDP47" s="22" t="s">
        <v>46</v>
      </c>
      <c r="UDQ47" s="8" t="s">
        <v>433</v>
      </c>
      <c r="UDR47" s="32" t="s">
        <v>92</v>
      </c>
      <c r="UDS47" s="8" t="s">
        <v>132</v>
      </c>
      <c r="UDT47" s="22" t="s">
        <v>46</v>
      </c>
      <c r="UDU47" s="8" t="s">
        <v>433</v>
      </c>
      <c r="UDV47" s="32" t="s">
        <v>92</v>
      </c>
      <c r="UDW47" s="8" t="s">
        <v>132</v>
      </c>
      <c r="UDX47" s="22" t="s">
        <v>46</v>
      </c>
      <c r="UDY47" s="8" t="s">
        <v>433</v>
      </c>
      <c r="UDZ47" s="32" t="s">
        <v>92</v>
      </c>
      <c r="UEA47" s="8" t="s">
        <v>132</v>
      </c>
      <c r="UEB47" s="22" t="s">
        <v>46</v>
      </c>
      <c r="UEC47" s="8" t="s">
        <v>433</v>
      </c>
      <c r="UED47" s="32" t="s">
        <v>92</v>
      </c>
      <c r="UEE47" s="8" t="s">
        <v>132</v>
      </c>
      <c r="UEF47" s="22" t="s">
        <v>46</v>
      </c>
      <c r="UEG47" s="8" t="s">
        <v>433</v>
      </c>
      <c r="UEH47" s="32" t="s">
        <v>92</v>
      </c>
      <c r="UEI47" s="8" t="s">
        <v>132</v>
      </c>
      <c r="UEJ47" s="22" t="s">
        <v>46</v>
      </c>
      <c r="UEK47" s="8" t="s">
        <v>433</v>
      </c>
      <c r="UEL47" s="32" t="s">
        <v>92</v>
      </c>
      <c r="UEM47" s="8" t="s">
        <v>132</v>
      </c>
      <c r="UEN47" s="22" t="s">
        <v>46</v>
      </c>
      <c r="UEO47" s="8" t="s">
        <v>433</v>
      </c>
      <c r="UEP47" s="32" t="s">
        <v>92</v>
      </c>
      <c r="UEQ47" s="8" t="s">
        <v>132</v>
      </c>
      <c r="UER47" s="22" t="s">
        <v>46</v>
      </c>
      <c r="UES47" s="8" t="s">
        <v>433</v>
      </c>
      <c r="UET47" s="32" t="s">
        <v>92</v>
      </c>
      <c r="UEU47" s="8" t="s">
        <v>132</v>
      </c>
      <c r="UEV47" s="22" t="s">
        <v>46</v>
      </c>
      <c r="UEW47" s="8" t="s">
        <v>433</v>
      </c>
      <c r="UEX47" s="32" t="s">
        <v>92</v>
      </c>
      <c r="UEY47" s="8" t="s">
        <v>132</v>
      </c>
      <c r="UEZ47" s="22" t="s">
        <v>46</v>
      </c>
      <c r="UFA47" s="8" t="s">
        <v>433</v>
      </c>
      <c r="UFB47" s="32" t="s">
        <v>92</v>
      </c>
      <c r="UFC47" s="8" t="s">
        <v>132</v>
      </c>
      <c r="UFD47" s="22" t="s">
        <v>46</v>
      </c>
      <c r="UFE47" s="8" t="s">
        <v>433</v>
      </c>
      <c r="UFF47" s="32" t="s">
        <v>92</v>
      </c>
      <c r="UFG47" s="8" t="s">
        <v>132</v>
      </c>
      <c r="UFH47" s="22" t="s">
        <v>46</v>
      </c>
      <c r="UFI47" s="8" t="s">
        <v>433</v>
      </c>
      <c r="UFJ47" s="32" t="s">
        <v>92</v>
      </c>
      <c r="UFK47" s="8" t="s">
        <v>132</v>
      </c>
      <c r="UFL47" s="22" t="s">
        <v>46</v>
      </c>
      <c r="UFM47" s="8" t="s">
        <v>433</v>
      </c>
      <c r="UFN47" s="32" t="s">
        <v>92</v>
      </c>
      <c r="UFO47" s="8" t="s">
        <v>132</v>
      </c>
      <c r="UFP47" s="22" t="s">
        <v>46</v>
      </c>
      <c r="UFQ47" s="8" t="s">
        <v>433</v>
      </c>
      <c r="UFR47" s="32" t="s">
        <v>92</v>
      </c>
      <c r="UFS47" s="8" t="s">
        <v>132</v>
      </c>
      <c r="UFT47" s="22" t="s">
        <v>46</v>
      </c>
      <c r="UFU47" s="8" t="s">
        <v>433</v>
      </c>
      <c r="UFV47" s="32" t="s">
        <v>92</v>
      </c>
      <c r="UFW47" s="8" t="s">
        <v>132</v>
      </c>
      <c r="UFX47" s="22" t="s">
        <v>46</v>
      </c>
      <c r="UFY47" s="8" t="s">
        <v>433</v>
      </c>
      <c r="UFZ47" s="32" t="s">
        <v>92</v>
      </c>
      <c r="UGA47" s="8" t="s">
        <v>132</v>
      </c>
      <c r="UGB47" s="22" t="s">
        <v>46</v>
      </c>
      <c r="UGC47" s="8" t="s">
        <v>433</v>
      </c>
      <c r="UGD47" s="32" t="s">
        <v>92</v>
      </c>
      <c r="UGE47" s="8" t="s">
        <v>132</v>
      </c>
      <c r="UGF47" s="22" t="s">
        <v>46</v>
      </c>
      <c r="UGG47" s="8" t="s">
        <v>433</v>
      </c>
      <c r="UGH47" s="32" t="s">
        <v>92</v>
      </c>
      <c r="UGI47" s="8" t="s">
        <v>132</v>
      </c>
      <c r="UGJ47" s="22" t="s">
        <v>46</v>
      </c>
      <c r="UGK47" s="8" t="s">
        <v>433</v>
      </c>
      <c r="UGL47" s="32" t="s">
        <v>92</v>
      </c>
      <c r="UGM47" s="8" t="s">
        <v>132</v>
      </c>
      <c r="UGN47" s="22" t="s">
        <v>46</v>
      </c>
      <c r="UGO47" s="8" t="s">
        <v>433</v>
      </c>
      <c r="UGP47" s="32" t="s">
        <v>92</v>
      </c>
      <c r="UGQ47" s="8" t="s">
        <v>132</v>
      </c>
      <c r="UGR47" s="22" t="s">
        <v>46</v>
      </c>
      <c r="UGS47" s="8" t="s">
        <v>433</v>
      </c>
      <c r="UGT47" s="32" t="s">
        <v>92</v>
      </c>
      <c r="UGU47" s="8" t="s">
        <v>132</v>
      </c>
      <c r="UGV47" s="22" t="s">
        <v>46</v>
      </c>
      <c r="UGW47" s="8" t="s">
        <v>433</v>
      </c>
      <c r="UGX47" s="32" t="s">
        <v>92</v>
      </c>
      <c r="UGY47" s="8" t="s">
        <v>132</v>
      </c>
      <c r="UGZ47" s="22" t="s">
        <v>46</v>
      </c>
      <c r="UHA47" s="8" t="s">
        <v>433</v>
      </c>
      <c r="UHB47" s="32" t="s">
        <v>92</v>
      </c>
      <c r="UHC47" s="8" t="s">
        <v>132</v>
      </c>
      <c r="UHD47" s="22" t="s">
        <v>46</v>
      </c>
      <c r="UHE47" s="8" t="s">
        <v>433</v>
      </c>
      <c r="UHF47" s="32" t="s">
        <v>92</v>
      </c>
      <c r="UHG47" s="8" t="s">
        <v>132</v>
      </c>
      <c r="UHH47" s="22" t="s">
        <v>46</v>
      </c>
      <c r="UHI47" s="8" t="s">
        <v>433</v>
      </c>
      <c r="UHJ47" s="32" t="s">
        <v>92</v>
      </c>
      <c r="UHK47" s="8" t="s">
        <v>132</v>
      </c>
      <c r="UHL47" s="22" t="s">
        <v>46</v>
      </c>
      <c r="UHM47" s="8" t="s">
        <v>433</v>
      </c>
      <c r="UHN47" s="32" t="s">
        <v>92</v>
      </c>
      <c r="UHO47" s="8" t="s">
        <v>132</v>
      </c>
      <c r="UHP47" s="22" t="s">
        <v>46</v>
      </c>
      <c r="UHQ47" s="8" t="s">
        <v>433</v>
      </c>
      <c r="UHR47" s="32" t="s">
        <v>92</v>
      </c>
      <c r="UHS47" s="8" t="s">
        <v>132</v>
      </c>
      <c r="UHT47" s="22" t="s">
        <v>46</v>
      </c>
      <c r="UHU47" s="8" t="s">
        <v>433</v>
      </c>
      <c r="UHV47" s="32" t="s">
        <v>92</v>
      </c>
      <c r="UHW47" s="8" t="s">
        <v>132</v>
      </c>
      <c r="UHX47" s="22" t="s">
        <v>46</v>
      </c>
      <c r="UHY47" s="8" t="s">
        <v>433</v>
      </c>
      <c r="UHZ47" s="32" t="s">
        <v>92</v>
      </c>
      <c r="UIA47" s="8" t="s">
        <v>132</v>
      </c>
      <c r="UIB47" s="22" t="s">
        <v>46</v>
      </c>
      <c r="UIC47" s="8" t="s">
        <v>433</v>
      </c>
      <c r="UID47" s="32" t="s">
        <v>92</v>
      </c>
      <c r="UIE47" s="8" t="s">
        <v>132</v>
      </c>
      <c r="UIF47" s="22" t="s">
        <v>46</v>
      </c>
      <c r="UIG47" s="8" t="s">
        <v>433</v>
      </c>
      <c r="UIH47" s="32" t="s">
        <v>92</v>
      </c>
      <c r="UII47" s="8" t="s">
        <v>132</v>
      </c>
      <c r="UIJ47" s="22" t="s">
        <v>46</v>
      </c>
      <c r="UIK47" s="8" t="s">
        <v>433</v>
      </c>
      <c r="UIL47" s="32" t="s">
        <v>92</v>
      </c>
      <c r="UIM47" s="8" t="s">
        <v>132</v>
      </c>
      <c r="UIN47" s="22" t="s">
        <v>46</v>
      </c>
      <c r="UIO47" s="8" t="s">
        <v>433</v>
      </c>
      <c r="UIP47" s="32" t="s">
        <v>92</v>
      </c>
      <c r="UIQ47" s="8" t="s">
        <v>132</v>
      </c>
      <c r="UIR47" s="22" t="s">
        <v>46</v>
      </c>
      <c r="UIS47" s="8" t="s">
        <v>433</v>
      </c>
      <c r="UIT47" s="32" t="s">
        <v>92</v>
      </c>
      <c r="UIU47" s="8" t="s">
        <v>132</v>
      </c>
      <c r="UIV47" s="22" t="s">
        <v>46</v>
      </c>
      <c r="UIW47" s="8" t="s">
        <v>433</v>
      </c>
      <c r="UIX47" s="32" t="s">
        <v>92</v>
      </c>
      <c r="UIY47" s="8" t="s">
        <v>132</v>
      </c>
      <c r="UIZ47" s="22" t="s">
        <v>46</v>
      </c>
      <c r="UJA47" s="8" t="s">
        <v>433</v>
      </c>
      <c r="UJB47" s="32" t="s">
        <v>92</v>
      </c>
      <c r="UJC47" s="8" t="s">
        <v>132</v>
      </c>
      <c r="UJD47" s="22" t="s">
        <v>46</v>
      </c>
      <c r="UJE47" s="8" t="s">
        <v>433</v>
      </c>
      <c r="UJF47" s="32" t="s">
        <v>92</v>
      </c>
      <c r="UJG47" s="8" t="s">
        <v>132</v>
      </c>
      <c r="UJH47" s="22" t="s">
        <v>46</v>
      </c>
      <c r="UJI47" s="8" t="s">
        <v>433</v>
      </c>
      <c r="UJJ47" s="32" t="s">
        <v>92</v>
      </c>
      <c r="UJK47" s="8" t="s">
        <v>132</v>
      </c>
      <c r="UJL47" s="22" t="s">
        <v>46</v>
      </c>
      <c r="UJM47" s="8" t="s">
        <v>433</v>
      </c>
      <c r="UJN47" s="32" t="s">
        <v>92</v>
      </c>
      <c r="UJO47" s="8" t="s">
        <v>132</v>
      </c>
      <c r="UJP47" s="22" t="s">
        <v>46</v>
      </c>
      <c r="UJQ47" s="8" t="s">
        <v>433</v>
      </c>
      <c r="UJR47" s="32" t="s">
        <v>92</v>
      </c>
      <c r="UJS47" s="8" t="s">
        <v>132</v>
      </c>
      <c r="UJT47" s="22" t="s">
        <v>46</v>
      </c>
      <c r="UJU47" s="8" t="s">
        <v>433</v>
      </c>
      <c r="UJV47" s="32" t="s">
        <v>92</v>
      </c>
      <c r="UJW47" s="8" t="s">
        <v>132</v>
      </c>
      <c r="UJX47" s="22" t="s">
        <v>46</v>
      </c>
      <c r="UJY47" s="8" t="s">
        <v>433</v>
      </c>
      <c r="UJZ47" s="32" t="s">
        <v>92</v>
      </c>
      <c r="UKA47" s="8" t="s">
        <v>132</v>
      </c>
      <c r="UKB47" s="22" t="s">
        <v>46</v>
      </c>
      <c r="UKC47" s="8" t="s">
        <v>433</v>
      </c>
      <c r="UKD47" s="32" t="s">
        <v>92</v>
      </c>
      <c r="UKE47" s="8" t="s">
        <v>132</v>
      </c>
      <c r="UKF47" s="22" t="s">
        <v>46</v>
      </c>
      <c r="UKG47" s="8" t="s">
        <v>433</v>
      </c>
      <c r="UKH47" s="32" t="s">
        <v>92</v>
      </c>
      <c r="UKI47" s="8" t="s">
        <v>132</v>
      </c>
      <c r="UKJ47" s="22" t="s">
        <v>46</v>
      </c>
      <c r="UKK47" s="8" t="s">
        <v>433</v>
      </c>
      <c r="UKL47" s="32" t="s">
        <v>92</v>
      </c>
      <c r="UKM47" s="8" t="s">
        <v>132</v>
      </c>
      <c r="UKN47" s="22" t="s">
        <v>46</v>
      </c>
      <c r="UKO47" s="8" t="s">
        <v>433</v>
      </c>
      <c r="UKP47" s="32" t="s">
        <v>92</v>
      </c>
      <c r="UKQ47" s="8" t="s">
        <v>132</v>
      </c>
      <c r="UKR47" s="22" t="s">
        <v>46</v>
      </c>
      <c r="UKS47" s="8" t="s">
        <v>433</v>
      </c>
      <c r="UKT47" s="32" t="s">
        <v>92</v>
      </c>
      <c r="UKU47" s="8" t="s">
        <v>132</v>
      </c>
      <c r="UKV47" s="22" t="s">
        <v>46</v>
      </c>
      <c r="UKW47" s="8" t="s">
        <v>433</v>
      </c>
      <c r="UKX47" s="32" t="s">
        <v>92</v>
      </c>
      <c r="UKY47" s="8" t="s">
        <v>132</v>
      </c>
      <c r="UKZ47" s="22" t="s">
        <v>46</v>
      </c>
      <c r="ULA47" s="8" t="s">
        <v>433</v>
      </c>
      <c r="ULB47" s="32" t="s">
        <v>92</v>
      </c>
      <c r="ULC47" s="8" t="s">
        <v>132</v>
      </c>
      <c r="ULD47" s="22" t="s">
        <v>46</v>
      </c>
      <c r="ULE47" s="8" t="s">
        <v>433</v>
      </c>
      <c r="ULF47" s="32" t="s">
        <v>92</v>
      </c>
      <c r="ULG47" s="8" t="s">
        <v>132</v>
      </c>
      <c r="ULH47" s="22" t="s">
        <v>46</v>
      </c>
      <c r="ULI47" s="8" t="s">
        <v>433</v>
      </c>
      <c r="ULJ47" s="32" t="s">
        <v>92</v>
      </c>
      <c r="ULK47" s="8" t="s">
        <v>132</v>
      </c>
      <c r="ULL47" s="22" t="s">
        <v>46</v>
      </c>
      <c r="ULM47" s="8" t="s">
        <v>433</v>
      </c>
      <c r="ULN47" s="32" t="s">
        <v>92</v>
      </c>
      <c r="ULO47" s="8" t="s">
        <v>132</v>
      </c>
      <c r="ULP47" s="22" t="s">
        <v>46</v>
      </c>
      <c r="ULQ47" s="8" t="s">
        <v>433</v>
      </c>
      <c r="ULR47" s="32" t="s">
        <v>92</v>
      </c>
      <c r="ULS47" s="8" t="s">
        <v>132</v>
      </c>
      <c r="ULT47" s="22" t="s">
        <v>46</v>
      </c>
      <c r="ULU47" s="8" t="s">
        <v>433</v>
      </c>
      <c r="ULV47" s="32" t="s">
        <v>92</v>
      </c>
      <c r="ULW47" s="8" t="s">
        <v>132</v>
      </c>
      <c r="ULX47" s="22" t="s">
        <v>46</v>
      </c>
      <c r="ULY47" s="8" t="s">
        <v>433</v>
      </c>
      <c r="ULZ47" s="32" t="s">
        <v>92</v>
      </c>
      <c r="UMA47" s="8" t="s">
        <v>132</v>
      </c>
      <c r="UMB47" s="22" t="s">
        <v>46</v>
      </c>
      <c r="UMC47" s="8" t="s">
        <v>433</v>
      </c>
      <c r="UMD47" s="32" t="s">
        <v>92</v>
      </c>
      <c r="UME47" s="8" t="s">
        <v>132</v>
      </c>
      <c r="UMF47" s="22" t="s">
        <v>46</v>
      </c>
      <c r="UMG47" s="8" t="s">
        <v>433</v>
      </c>
      <c r="UMH47" s="32" t="s">
        <v>92</v>
      </c>
      <c r="UMI47" s="8" t="s">
        <v>132</v>
      </c>
      <c r="UMJ47" s="22" t="s">
        <v>46</v>
      </c>
      <c r="UMK47" s="8" t="s">
        <v>433</v>
      </c>
      <c r="UML47" s="32" t="s">
        <v>92</v>
      </c>
      <c r="UMM47" s="8" t="s">
        <v>132</v>
      </c>
      <c r="UMN47" s="22" t="s">
        <v>46</v>
      </c>
      <c r="UMO47" s="8" t="s">
        <v>433</v>
      </c>
      <c r="UMP47" s="32" t="s">
        <v>92</v>
      </c>
      <c r="UMQ47" s="8" t="s">
        <v>132</v>
      </c>
      <c r="UMR47" s="22" t="s">
        <v>46</v>
      </c>
      <c r="UMS47" s="8" t="s">
        <v>433</v>
      </c>
      <c r="UMT47" s="32" t="s">
        <v>92</v>
      </c>
      <c r="UMU47" s="8" t="s">
        <v>132</v>
      </c>
      <c r="UMV47" s="22" t="s">
        <v>46</v>
      </c>
      <c r="UMW47" s="8" t="s">
        <v>433</v>
      </c>
      <c r="UMX47" s="32" t="s">
        <v>92</v>
      </c>
      <c r="UMY47" s="8" t="s">
        <v>132</v>
      </c>
      <c r="UMZ47" s="22" t="s">
        <v>46</v>
      </c>
      <c r="UNA47" s="8" t="s">
        <v>433</v>
      </c>
      <c r="UNB47" s="32" t="s">
        <v>92</v>
      </c>
      <c r="UNC47" s="8" t="s">
        <v>132</v>
      </c>
      <c r="UND47" s="22" t="s">
        <v>46</v>
      </c>
      <c r="UNE47" s="8" t="s">
        <v>433</v>
      </c>
      <c r="UNF47" s="32" t="s">
        <v>92</v>
      </c>
      <c r="UNG47" s="8" t="s">
        <v>132</v>
      </c>
      <c r="UNH47" s="22" t="s">
        <v>46</v>
      </c>
      <c r="UNI47" s="8" t="s">
        <v>433</v>
      </c>
      <c r="UNJ47" s="32" t="s">
        <v>92</v>
      </c>
      <c r="UNK47" s="8" t="s">
        <v>132</v>
      </c>
      <c r="UNL47" s="22" t="s">
        <v>46</v>
      </c>
      <c r="UNM47" s="8" t="s">
        <v>433</v>
      </c>
      <c r="UNN47" s="32" t="s">
        <v>92</v>
      </c>
      <c r="UNO47" s="8" t="s">
        <v>132</v>
      </c>
      <c r="UNP47" s="22" t="s">
        <v>46</v>
      </c>
      <c r="UNQ47" s="8" t="s">
        <v>433</v>
      </c>
      <c r="UNR47" s="32" t="s">
        <v>92</v>
      </c>
      <c r="UNS47" s="8" t="s">
        <v>132</v>
      </c>
      <c r="UNT47" s="22" t="s">
        <v>46</v>
      </c>
      <c r="UNU47" s="8" t="s">
        <v>433</v>
      </c>
      <c r="UNV47" s="32" t="s">
        <v>92</v>
      </c>
      <c r="UNW47" s="8" t="s">
        <v>132</v>
      </c>
      <c r="UNX47" s="22" t="s">
        <v>46</v>
      </c>
      <c r="UNY47" s="8" t="s">
        <v>433</v>
      </c>
      <c r="UNZ47" s="32" t="s">
        <v>92</v>
      </c>
      <c r="UOA47" s="8" t="s">
        <v>132</v>
      </c>
      <c r="UOB47" s="22" t="s">
        <v>46</v>
      </c>
      <c r="UOC47" s="8" t="s">
        <v>433</v>
      </c>
      <c r="UOD47" s="32" t="s">
        <v>92</v>
      </c>
      <c r="UOE47" s="8" t="s">
        <v>132</v>
      </c>
      <c r="UOF47" s="22" t="s">
        <v>46</v>
      </c>
      <c r="UOG47" s="8" t="s">
        <v>433</v>
      </c>
      <c r="UOH47" s="32" t="s">
        <v>92</v>
      </c>
      <c r="UOI47" s="8" t="s">
        <v>132</v>
      </c>
      <c r="UOJ47" s="22" t="s">
        <v>46</v>
      </c>
      <c r="UOK47" s="8" t="s">
        <v>433</v>
      </c>
      <c r="UOL47" s="32" t="s">
        <v>92</v>
      </c>
      <c r="UOM47" s="8" t="s">
        <v>132</v>
      </c>
      <c r="UON47" s="22" t="s">
        <v>46</v>
      </c>
      <c r="UOO47" s="8" t="s">
        <v>433</v>
      </c>
      <c r="UOP47" s="32" t="s">
        <v>92</v>
      </c>
      <c r="UOQ47" s="8" t="s">
        <v>132</v>
      </c>
      <c r="UOR47" s="22" t="s">
        <v>46</v>
      </c>
      <c r="UOS47" s="8" t="s">
        <v>433</v>
      </c>
      <c r="UOT47" s="32" t="s">
        <v>92</v>
      </c>
      <c r="UOU47" s="8" t="s">
        <v>132</v>
      </c>
      <c r="UOV47" s="22" t="s">
        <v>46</v>
      </c>
      <c r="UOW47" s="8" t="s">
        <v>433</v>
      </c>
      <c r="UOX47" s="32" t="s">
        <v>92</v>
      </c>
      <c r="UOY47" s="8" t="s">
        <v>132</v>
      </c>
      <c r="UOZ47" s="22" t="s">
        <v>46</v>
      </c>
      <c r="UPA47" s="8" t="s">
        <v>433</v>
      </c>
      <c r="UPB47" s="32" t="s">
        <v>92</v>
      </c>
      <c r="UPC47" s="8" t="s">
        <v>132</v>
      </c>
      <c r="UPD47" s="22" t="s">
        <v>46</v>
      </c>
      <c r="UPE47" s="8" t="s">
        <v>433</v>
      </c>
      <c r="UPF47" s="32" t="s">
        <v>92</v>
      </c>
      <c r="UPG47" s="8" t="s">
        <v>132</v>
      </c>
      <c r="UPH47" s="22" t="s">
        <v>46</v>
      </c>
      <c r="UPI47" s="8" t="s">
        <v>433</v>
      </c>
      <c r="UPJ47" s="32" t="s">
        <v>92</v>
      </c>
      <c r="UPK47" s="8" t="s">
        <v>132</v>
      </c>
      <c r="UPL47" s="22" t="s">
        <v>46</v>
      </c>
      <c r="UPM47" s="8" t="s">
        <v>433</v>
      </c>
      <c r="UPN47" s="32" t="s">
        <v>92</v>
      </c>
      <c r="UPO47" s="8" t="s">
        <v>132</v>
      </c>
      <c r="UPP47" s="22" t="s">
        <v>46</v>
      </c>
      <c r="UPQ47" s="8" t="s">
        <v>433</v>
      </c>
      <c r="UPR47" s="32" t="s">
        <v>92</v>
      </c>
      <c r="UPS47" s="8" t="s">
        <v>132</v>
      </c>
      <c r="UPT47" s="22" t="s">
        <v>46</v>
      </c>
      <c r="UPU47" s="8" t="s">
        <v>433</v>
      </c>
      <c r="UPV47" s="32" t="s">
        <v>92</v>
      </c>
      <c r="UPW47" s="8" t="s">
        <v>132</v>
      </c>
      <c r="UPX47" s="22" t="s">
        <v>46</v>
      </c>
      <c r="UPY47" s="8" t="s">
        <v>433</v>
      </c>
      <c r="UPZ47" s="32" t="s">
        <v>92</v>
      </c>
      <c r="UQA47" s="8" t="s">
        <v>132</v>
      </c>
      <c r="UQB47" s="22" t="s">
        <v>46</v>
      </c>
      <c r="UQC47" s="8" t="s">
        <v>433</v>
      </c>
      <c r="UQD47" s="32" t="s">
        <v>92</v>
      </c>
      <c r="UQE47" s="8" t="s">
        <v>132</v>
      </c>
      <c r="UQF47" s="22" t="s">
        <v>46</v>
      </c>
      <c r="UQG47" s="8" t="s">
        <v>433</v>
      </c>
      <c r="UQH47" s="32" t="s">
        <v>92</v>
      </c>
      <c r="UQI47" s="8" t="s">
        <v>132</v>
      </c>
      <c r="UQJ47" s="22" t="s">
        <v>46</v>
      </c>
      <c r="UQK47" s="8" t="s">
        <v>433</v>
      </c>
      <c r="UQL47" s="32" t="s">
        <v>92</v>
      </c>
      <c r="UQM47" s="8" t="s">
        <v>132</v>
      </c>
      <c r="UQN47" s="22" t="s">
        <v>46</v>
      </c>
      <c r="UQO47" s="8" t="s">
        <v>433</v>
      </c>
      <c r="UQP47" s="32" t="s">
        <v>92</v>
      </c>
      <c r="UQQ47" s="8" t="s">
        <v>132</v>
      </c>
      <c r="UQR47" s="22" t="s">
        <v>46</v>
      </c>
      <c r="UQS47" s="8" t="s">
        <v>433</v>
      </c>
      <c r="UQT47" s="32" t="s">
        <v>92</v>
      </c>
      <c r="UQU47" s="8" t="s">
        <v>132</v>
      </c>
      <c r="UQV47" s="22" t="s">
        <v>46</v>
      </c>
      <c r="UQW47" s="8" t="s">
        <v>433</v>
      </c>
      <c r="UQX47" s="32" t="s">
        <v>92</v>
      </c>
      <c r="UQY47" s="8" t="s">
        <v>132</v>
      </c>
      <c r="UQZ47" s="22" t="s">
        <v>46</v>
      </c>
      <c r="URA47" s="8" t="s">
        <v>433</v>
      </c>
      <c r="URB47" s="32" t="s">
        <v>92</v>
      </c>
      <c r="URC47" s="8" t="s">
        <v>132</v>
      </c>
      <c r="URD47" s="22" t="s">
        <v>46</v>
      </c>
      <c r="URE47" s="8" t="s">
        <v>433</v>
      </c>
      <c r="URF47" s="32" t="s">
        <v>92</v>
      </c>
      <c r="URG47" s="8" t="s">
        <v>132</v>
      </c>
      <c r="URH47" s="22" t="s">
        <v>46</v>
      </c>
      <c r="URI47" s="8" t="s">
        <v>433</v>
      </c>
      <c r="URJ47" s="32" t="s">
        <v>92</v>
      </c>
      <c r="URK47" s="8" t="s">
        <v>132</v>
      </c>
      <c r="URL47" s="22" t="s">
        <v>46</v>
      </c>
      <c r="URM47" s="8" t="s">
        <v>433</v>
      </c>
      <c r="URN47" s="32" t="s">
        <v>92</v>
      </c>
      <c r="URO47" s="8" t="s">
        <v>132</v>
      </c>
      <c r="URP47" s="22" t="s">
        <v>46</v>
      </c>
      <c r="URQ47" s="8" t="s">
        <v>433</v>
      </c>
      <c r="URR47" s="32" t="s">
        <v>92</v>
      </c>
      <c r="URS47" s="8" t="s">
        <v>132</v>
      </c>
      <c r="URT47" s="22" t="s">
        <v>46</v>
      </c>
      <c r="URU47" s="8" t="s">
        <v>433</v>
      </c>
      <c r="URV47" s="32" t="s">
        <v>92</v>
      </c>
      <c r="URW47" s="8" t="s">
        <v>132</v>
      </c>
      <c r="URX47" s="22" t="s">
        <v>46</v>
      </c>
      <c r="URY47" s="8" t="s">
        <v>433</v>
      </c>
      <c r="URZ47" s="32" t="s">
        <v>92</v>
      </c>
      <c r="USA47" s="8" t="s">
        <v>132</v>
      </c>
      <c r="USB47" s="22" t="s">
        <v>46</v>
      </c>
      <c r="USC47" s="8" t="s">
        <v>433</v>
      </c>
      <c r="USD47" s="32" t="s">
        <v>92</v>
      </c>
      <c r="USE47" s="8" t="s">
        <v>132</v>
      </c>
      <c r="USF47" s="22" t="s">
        <v>46</v>
      </c>
      <c r="USG47" s="8" t="s">
        <v>433</v>
      </c>
      <c r="USH47" s="32" t="s">
        <v>92</v>
      </c>
      <c r="USI47" s="8" t="s">
        <v>132</v>
      </c>
      <c r="USJ47" s="22" t="s">
        <v>46</v>
      </c>
      <c r="USK47" s="8" t="s">
        <v>433</v>
      </c>
      <c r="USL47" s="32" t="s">
        <v>92</v>
      </c>
      <c r="USM47" s="8" t="s">
        <v>132</v>
      </c>
      <c r="USN47" s="22" t="s">
        <v>46</v>
      </c>
      <c r="USO47" s="8" t="s">
        <v>433</v>
      </c>
      <c r="USP47" s="32" t="s">
        <v>92</v>
      </c>
      <c r="USQ47" s="8" t="s">
        <v>132</v>
      </c>
      <c r="USR47" s="22" t="s">
        <v>46</v>
      </c>
      <c r="USS47" s="8" t="s">
        <v>433</v>
      </c>
      <c r="UST47" s="32" t="s">
        <v>92</v>
      </c>
      <c r="USU47" s="8" t="s">
        <v>132</v>
      </c>
      <c r="USV47" s="22" t="s">
        <v>46</v>
      </c>
      <c r="USW47" s="8" t="s">
        <v>433</v>
      </c>
      <c r="USX47" s="32" t="s">
        <v>92</v>
      </c>
      <c r="USY47" s="8" t="s">
        <v>132</v>
      </c>
      <c r="USZ47" s="22" t="s">
        <v>46</v>
      </c>
      <c r="UTA47" s="8" t="s">
        <v>433</v>
      </c>
      <c r="UTB47" s="32" t="s">
        <v>92</v>
      </c>
      <c r="UTC47" s="8" t="s">
        <v>132</v>
      </c>
      <c r="UTD47" s="22" t="s">
        <v>46</v>
      </c>
      <c r="UTE47" s="8" t="s">
        <v>433</v>
      </c>
      <c r="UTF47" s="32" t="s">
        <v>92</v>
      </c>
      <c r="UTG47" s="8" t="s">
        <v>132</v>
      </c>
      <c r="UTH47" s="22" t="s">
        <v>46</v>
      </c>
      <c r="UTI47" s="8" t="s">
        <v>433</v>
      </c>
      <c r="UTJ47" s="32" t="s">
        <v>92</v>
      </c>
      <c r="UTK47" s="8" t="s">
        <v>132</v>
      </c>
      <c r="UTL47" s="22" t="s">
        <v>46</v>
      </c>
      <c r="UTM47" s="8" t="s">
        <v>433</v>
      </c>
      <c r="UTN47" s="32" t="s">
        <v>92</v>
      </c>
      <c r="UTO47" s="8" t="s">
        <v>132</v>
      </c>
      <c r="UTP47" s="22" t="s">
        <v>46</v>
      </c>
      <c r="UTQ47" s="8" t="s">
        <v>433</v>
      </c>
      <c r="UTR47" s="32" t="s">
        <v>92</v>
      </c>
      <c r="UTS47" s="8" t="s">
        <v>132</v>
      </c>
      <c r="UTT47" s="22" t="s">
        <v>46</v>
      </c>
      <c r="UTU47" s="8" t="s">
        <v>433</v>
      </c>
      <c r="UTV47" s="32" t="s">
        <v>92</v>
      </c>
      <c r="UTW47" s="8" t="s">
        <v>132</v>
      </c>
      <c r="UTX47" s="22" t="s">
        <v>46</v>
      </c>
      <c r="UTY47" s="8" t="s">
        <v>433</v>
      </c>
      <c r="UTZ47" s="32" t="s">
        <v>92</v>
      </c>
      <c r="UUA47" s="8" t="s">
        <v>132</v>
      </c>
      <c r="UUB47" s="22" t="s">
        <v>46</v>
      </c>
      <c r="UUC47" s="8" t="s">
        <v>433</v>
      </c>
      <c r="UUD47" s="32" t="s">
        <v>92</v>
      </c>
      <c r="UUE47" s="8" t="s">
        <v>132</v>
      </c>
      <c r="UUF47" s="22" t="s">
        <v>46</v>
      </c>
      <c r="UUG47" s="8" t="s">
        <v>433</v>
      </c>
      <c r="UUH47" s="32" t="s">
        <v>92</v>
      </c>
      <c r="UUI47" s="8" t="s">
        <v>132</v>
      </c>
      <c r="UUJ47" s="22" t="s">
        <v>46</v>
      </c>
      <c r="UUK47" s="8" t="s">
        <v>433</v>
      </c>
      <c r="UUL47" s="32" t="s">
        <v>92</v>
      </c>
      <c r="UUM47" s="8" t="s">
        <v>132</v>
      </c>
      <c r="UUN47" s="22" t="s">
        <v>46</v>
      </c>
      <c r="UUO47" s="8" t="s">
        <v>433</v>
      </c>
      <c r="UUP47" s="32" t="s">
        <v>92</v>
      </c>
      <c r="UUQ47" s="8" t="s">
        <v>132</v>
      </c>
      <c r="UUR47" s="22" t="s">
        <v>46</v>
      </c>
      <c r="UUS47" s="8" t="s">
        <v>433</v>
      </c>
      <c r="UUT47" s="32" t="s">
        <v>92</v>
      </c>
      <c r="UUU47" s="8" t="s">
        <v>132</v>
      </c>
      <c r="UUV47" s="22" t="s">
        <v>46</v>
      </c>
      <c r="UUW47" s="8" t="s">
        <v>433</v>
      </c>
      <c r="UUX47" s="32" t="s">
        <v>92</v>
      </c>
      <c r="UUY47" s="8" t="s">
        <v>132</v>
      </c>
      <c r="UUZ47" s="22" t="s">
        <v>46</v>
      </c>
      <c r="UVA47" s="8" t="s">
        <v>433</v>
      </c>
      <c r="UVB47" s="32" t="s">
        <v>92</v>
      </c>
      <c r="UVC47" s="8" t="s">
        <v>132</v>
      </c>
      <c r="UVD47" s="22" t="s">
        <v>46</v>
      </c>
      <c r="UVE47" s="8" t="s">
        <v>433</v>
      </c>
      <c r="UVF47" s="32" t="s">
        <v>92</v>
      </c>
      <c r="UVG47" s="8" t="s">
        <v>132</v>
      </c>
      <c r="UVH47" s="22" t="s">
        <v>46</v>
      </c>
      <c r="UVI47" s="8" t="s">
        <v>433</v>
      </c>
      <c r="UVJ47" s="32" t="s">
        <v>92</v>
      </c>
      <c r="UVK47" s="8" t="s">
        <v>132</v>
      </c>
      <c r="UVL47" s="22" t="s">
        <v>46</v>
      </c>
      <c r="UVM47" s="8" t="s">
        <v>433</v>
      </c>
      <c r="UVN47" s="32" t="s">
        <v>92</v>
      </c>
      <c r="UVO47" s="8" t="s">
        <v>132</v>
      </c>
      <c r="UVP47" s="22" t="s">
        <v>46</v>
      </c>
      <c r="UVQ47" s="8" t="s">
        <v>433</v>
      </c>
      <c r="UVR47" s="32" t="s">
        <v>92</v>
      </c>
      <c r="UVS47" s="8" t="s">
        <v>132</v>
      </c>
      <c r="UVT47" s="22" t="s">
        <v>46</v>
      </c>
      <c r="UVU47" s="8" t="s">
        <v>433</v>
      </c>
      <c r="UVV47" s="32" t="s">
        <v>92</v>
      </c>
      <c r="UVW47" s="8" t="s">
        <v>132</v>
      </c>
      <c r="UVX47" s="22" t="s">
        <v>46</v>
      </c>
      <c r="UVY47" s="8" t="s">
        <v>433</v>
      </c>
      <c r="UVZ47" s="32" t="s">
        <v>92</v>
      </c>
      <c r="UWA47" s="8" t="s">
        <v>132</v>
      </c>
      <c r="UWB47" s="22" t="s">
        <v>46</v>
      </c>
      <c r="UWC47" s="8" t="s">
        <v>433</v>
      </c>
      <c r="UWD47" s="32" t="s">
        <v>92</v>
      </c>
      <c r="UWE47" s="8" t="s">
        <v>132</v>
      </c>
      <c r="UWF47" s="22" t="s">
        <v>46</v>
      </c>
      <c r="UWG47" s="8" t="s">
        <v>433</v>
      </c>
      <c r="UWH47" s="32" t="s">
        <v>92</v>
      </c>
      <c r="UWI47" s="8" t="s">
        <v>132</v>
      </c>
      <c r="UWJ47" s="22" t="s">
        <v>46</v>
      </c>
      <c r="UWK47" s="8" t="s">
        <v>433</v>
      </c>
      <c r="UWL47" s="32" t="s">
        <v>92</v>
      </c>
      <c r="UWM47" s="8" t="s">
        <v>132</v>
      </c>
      <c r="UWN47" s="22" t="s">
        <v>46</v>
      </c>
      <c r="UWO47" s="8" t="s">
        <v>433</v>
      </c>
      <c r="UWP47" s="32" t="s">
        <v>92</v>
      </c>
      <c r="UWQ47" s="8" t="s">
        <v>132</v>
      </c>
      <c r="UWR47" s="22" t="s">
        <v>46</v>
      </c>
      <c r="UWS47" s="8" t="s">
        <v>433</v>
      </c>
      <c r="UWT47" s="32" t="s">
        <v>92</v>
      </c>
      <c r="UWU47" s="8" t="s">
        <v>132</v>
      </c>
      <c r="UWV47" s="22" t="s">
        <v>46</v>
      </c>
      <c r="UWW47" s="8" t="s">
        <v>433</v>
      </c>
      <c r="UWX47" s="32" t="s">
        <v>92</v>
      </c>
      <c r="UWY47" s="8" t="s">
        <v>132</v>
      </c>
      <c r="UWZ47" s="22" t="s">
        <v>46</v>
      </c>
      <c r="UXA47" s="8" t="s">
        <v>433</v>
      </c>
      <c r="UXB47" s="32" t="s">
        <v>92</v>
      </c>
      <c r="UXC47" s="8" t="s">
        <v>132</v>
      </c>
      <c r="UXD47" s="22" t="s">
        <v>46</v>
      </c>
      <c r="UXE47" s="8" t="s">
        <v>433</v>
      </c>
      <c r="UXF47" s="32" t="s">
        <v>92</v>
      </c>
      <c r="UXG47" s="8" t="s">
        <v>132</v>
      </c>
      <c r="UXH47" s="22" t="s">
        <v>46</v>
      </c>
      <c r="UXI47" s="8" t="s">
        <v>433</v>
      </c>
      <c r="UXJ47" s="32" t="s">
        <v>92</v>
      </c>
      <c r="UXK47" s="8" t="s">
        <v>132</v>
      </c>
      <c r="UXL47" s="22" t="s">
        <v>46</v>
      </c>
      <c r="UXM47" s="8" t="s">
        <v>433</v>
      </c>
      <c r="UXN47" s="32" t="s">
        <v>92</v>
      </c>
      <c r="UXO47" s="8" t="s">
        <v>132</v>
      </c>
      <c r="UXP47" s="22" t="s">
        <v>46</v>
      </c>
      <c r="UXQ47" s="8" t="s">
        <v>433</v>
      </c>
      <c r="UXR47" s="32" t="s">
        <v>92</v>
      </c>
      <c r="UXS47" s="8" t="s">
        <v>132</v>
      </c>
      <c r="UXT47" s="22" t="s">
        <v>46</v>
      </c>
      <c r="UXU47" s="8" t="s">
        <v>433</v>
      </c>
      <c r="UXV47" s="32" t="s">
        <v>92</v>
      </c>
      <c r="UXW47" s="8" t="s">
        <v>132</v>
      </c>
      <c r="UXX47" s="22" t="s">
        <v>46</v>
      </c>
      <c r="UXY47" s="8" t="s">
        <v>433</v>
      </c>
      <c r="UXZ47" s="32" t="s">
        <v>92</v>
      </c>
      <c r="UYA47" s="8" t="s">
        <v>132</v>
      </c>
      <c r="UYB47" s="22" t="s">
        <v>46</v>
      </c>
      <c r="UYC47" s="8" t="s">
        <v>433</v>
      </c>
      <c r="UYD47" s="32" t="s">
        <v>92</v>
      </c>
      <c r="UYE47" s="8" t="s">
        <v>132</v>
      </c>
      <c r="UYF47" s="22" t="s">
        <v>46</v>
      </c>
      <c r="UYG47" s="8" t="s">
        <v>433</v>
      </c>
      <c r="UYH47" s="32" t="s">
        <v>92</v>
      </c>
      <c r="UYI47" s="8" t="s">
        <v>132</v>
      </c>
      <c r="UYJ47" s="22" t="s">
        <v>46</v>
      </c>
      <c r="UYK47" s="8" t="s">
        <v>433</v>
      </c>
      <c r="UYL47" s="32" t="s">
        <v>92</v>
      </c>
      <c r="UYM47" s="8" t="s">
        <v>132</v>
      </c>
      <c r="UYN47" s="22" t="s">
        <v>46</v>
      </c>
      <c r="UYO47" s="8" t="s">
        <v>433</v>
      </c>
      <c r="UYP47" s="32" t="s">
        <v>92</v>
      </c>
      <c r="UYQ47" s="8" t="s">
        <v>132</v>
      </c>
      <c r="UYR47" s="22" t="s">
        <v>46</v>
      </c>
      <c r="UYS47" s="8" t="s">
        <v>433</v>
      </c>
      <c r="UYT47" s="32" t="s">
        <v>92</v>
      </c>
      <c r="UYU47" s="8" t="s">
        <v>132</v>
      </c>
      <c r="UYV47" s="22" t="s">
        <v>46</v>
      </c>
      <c r="UYW47" s="8" t="s">
        <v>433</v>
      </c>
      <c r="UYX47" s="32" t="s">
        <v>92</v>
      </c>
      <c r="UYY47" s="8" t="s">
        <v>132</v>
      </c>
      <c r="UYZ47" s="22" t="s">
        <v>46</v>
      </c>
      <c r="UZA47" s="8" t="s">
        <v>433</v>
      </c>
      <c r="UZB47" s="32" t="s">
        <v>92</v>
      </c>
      <c r="UZC47" s="8" t="s">
        <v>132</v>
      </c>
      <c r="UZD47" s="22" t="s">
        <v>46</v>
      </c>
      <c r="UZE47" s="8" t="s">
        <v>433</v>
      </c>
      <c r="UZF47" s="32" t="s">
        <v>92</v>
      </c>
      <c r="UZG47" s="8" t="s">
        <v>132</v>
      </c>
      <c r="UZH47" s="22" t="s">
        <v>46</v>
      </c>
      <c r="UZI47" s="8" t="s">
        <v>433</v>
      </c>
      <c r="UZJ47" s="32" t="s">
        <v>92</v>
      </c>
      <c r="UZK47" s="8" t="s">
        <v>132</v>
      </c>
      <c r="UZL47" s="22" t="s">
        <v>46</v>
      </c>
      <c r="UZM47" s="8" t="s">
        <v>433</v>
      </c>
      <c r="UZN47" s="32" t="s">
        <v>92</v>
      </c>
      <c r="UZO47" s="8" t="s">
        <v>132</v>
      </c>
      <c r="UZP47" s="22" t="s">
        <v>46</v>
      </c>
      <c r="UZQ47" s="8" t="s">
        <v>433</v>
      </c>
      <c r="UZR47" s="32" t="s">
        <v>92</v>
      </c>
      <c r="UZS47" s="8" t="s">
        <v>132</v>
      </c>
      <c r="UZT47" s="22" t="s">
        <v>46</v>
      </c>
      <c r="UZU47" s="8" t="s">
        <v>433</v>
      </c>
      <c r="UZV47" s="32" t="s">
        <v>92</v>
      </c>
      <c r="UZW47" s="8" t="s">
        <v>132</v>
      </c>
      <c r="UZX47" s="22" t="s">
        <v>46</v>
      </c>
      <c r="UZY47" s="8" t="s">
        <v>433</v>
      </c>
      <c r="UZZ47" s="32" t="s">
        <v>92</v>
      </c>
      <c r="VAA47" s="8" t="s">
        <v>132</v>
      </c>
      <c r="VAB47" s="22" t="s">
        <v>46</v>
      </c>
      <c r="VAC47" s="8" t="s">
        <v>433</v>
      </c>
      <c r="VAD47" s="32" t="s">
        <v>92</v>
      </c>
      <c r="VAE47" s="8" t="s">
        <v>132</v>
      </c>
      <c r="VAF47" s="22" t="s">
        <v>46</v>
      </c>
      <c r="VAG47" s="8" t="s">
        <v>433</v>
      </c>
      <c r="VAH47" s="32" t="s">
        <v>92</v>
      </c>
      <c r="VAI47" s="8" t="s">
        <v>132</v>
      </c>
      <c r="VAJ47" s="22" t="s">
        <v>46</v>
      </c>
      <c r="VAK47" s="8" t="s">
        <v>433</v>
      </c>
      <c r="VAL47" s="32" t="s">
        <v>92</v>
      </c>
      <c r="VAM47" s="8" t="s">
        <v>132</v>
      </c>
      <c r="VAN47" s="22" t="s">
        <v>46</v>
      </c>
      <c r="VAO47" s="8" t="s">
        <v>433</v>
      </c>
      <c r="VAP47" s="32" t="s">
        <v>92</v>
      </c>
      <c r="VAQ47" s="8" t="s">
        <v>132</v>
      </c>
      <c r="VAR47" s="22" t="s">
        <v>46</v>
      </c>
      <c r="VAS47" s="8" t="s">
        <v>433</v>
      </c>
      <c r="VAT47" s="32" t="s">
        <v>92</v>
      </c>
      <c r="VAU47" s="8" t="s">
        <v>132</v>
      </c>
      <c r="VAV47" s="22" t="s">
        <v>46</v>
      </c>
      <c r="VAW47" s="8" t="s">
        <v>433</v>
      </c>
      <c r="VAX47" s="32" t="s">
        <v>92</v>
      </c>
      <c r="VAY47" s="8" t="s">
        <v>132</v>
      </c>
      <c r="VAZ47" s="22" t="s">
        <v>46</v>
      </c>
      <c r="VBA47" s="8" t="s">
        <v>433</v>
      </c>
      <c r="VBB47" s="32" t="s">
        <v>92</v>
      </c>
      <c r="VBC47" s="8" t="s">
        <v>132</v>
      </c>
      <c r="VBD47" s="22" t="s">
        <v>46</v>
      </c>
      <c r="VBE47" s="8" t="s">
        <v>433</v>
      </c>
      <c r="VBF47" s="32" t="s">
        <v>92</v>
      </c>
      <c r="VBG47" s="8" t="s">
        <v>132</v>
      </c>
      <c r="VBH47" s="22" t="s">
        <v>46</v>
      </c>
      <c r="VBI47" s="8" t="s">
        <v>433</v>
      </c>
      <c r="VBJ47" s="32" t="s">
        <v>92</v>
      </c>
      <c r="VBK47" s="8" t="s">
        <v>132</v>
      </c>
      <c r="VBL47" s="22" t="s">
        <v>46</v>
      </c>
      <c r="VBM47" s="8" t="s">
        <v>433</v>
      </c>
      <c r="VBN47" s="32" t="s">
        <v>92</v>
      </c>
      <c r="VBO47" s="8" t="s">
        <v>132</v>
      </c>
      <c r="VBP47" s="22" t="s">
        <v>46</v>
      </c>
      <c r="VBQ47" s="8" t="s">
        <v>433</v>
      </c>
      <c r="VBR47" s="32" t="s">
        <v>92</v>
      </c>
      <c r="VBS47" s="8" t="s">
        <v>132</v>
      </c>
      <c r="VBT47" s="22" t="s">
        <v>46</v>
      </c>
      <c r="VBU47" s="8" t="s">
        <v>433</v>
      </c>
      <c r="VBV47" s="32" t="s">
        <v>92</v>
      </c>
      <c r="VBW47" s="8" t="s">
        <v>132</v>
      </c>
      <c r="VBX47" s="22" t="s">
        <v>46</v>
      </c>
      <c r="VBY47" s="8" t="s">
        <v>433</v>
      </c>
      <c r="VBZ47" s="32" t="s">
        <v>92</v>
      </c>
      <c r="VCA47" s="8" t="s">
        <v>132</v>
      </c>
      <c r="VCB47" s="22" t="s">
        <v>46</v>
      </c>
      <c r="VCC47" s="8" t="s">
        <v>433</v>
      </c>
      <c r="VCD47" s="32" t="s">
        <v>92</v>
      </c>
      <c r="VCE47" s="8" t="s">
        <v>132</v>
      </c>
      <c r="VCF47" s="22" t="s">
        <v>46</v>
      </c>
      <c r="VCG47" s="8" t="s">
        <v>433</v>
      </c>
      <c r="VCH47" s="32" t="s">
        <v>92</v>
      </c>
      <c r="VCI47" s="8" t="s">
        <v>132</v>
      </c>
      <c r="VCJ47" s="22" t="s">
        <v>46</v>
      </c>
      <c r="VCK47" s="8" t="s">
        <v>433</v>
      </c>
      <c r="VCL47" s="32" t="s">
        <v>92</v>
      </c>
      <c r="VCM47" s="8" t="s">
        <v>132</v>
      </c>
      <c r="VCN47" s="22" t="s">
        <v>46</v>
      </c>
      <c r="VCO47" s="8" t="s">
        <v>433</v>
      </c>
      <c r="VCP47" s="32" t="s">
        <v>92</v>
      </c>
      <c r="VCQ47" s="8" t="s">
        <v>132</v>
      </c>
      <c r="VCR47" s="22" t="s">
        <v>46</v>
      </c>
      <c r="VCS47" s="8" t="s">
        <v>433</v>
      </c>
      <c r="VCT47" s="32" t="s">
        <v>92</v>
      </c>
      <c r="VCU47" s="8" t="s">
        <v>132</v>
      </c>
      <c r="VCV47" s="22" t="s">
        <v>46</v>
      </c>
      <c r="VCW47" s="8" t="s">
        <v>433</v>
      </c>
      <c r="VCX47" s="32" t="s">
        <v>92</v>
      </c>
      <c r="VCY47" s="8" t="s">
        <v>132</v>
      </c>
      <c r="VCZ47" s="22" t="s">
        <v>46</v>
      </c>
      <c r="VDA47" s="8" t="s">
        <v>433</v>
      </c>
      <c r="VDB47" s="32" t="s">
        <v>92</v>
      </c>
      <c r="VDC47" s="8" t="s">
        <v>132</v>
      </c>
      <c r="VDD47" s="22" t="s">
        <v>46</v>
      </c>
      <c r="VDE47" s="8" t="s">
        <v>433</v>
      </c>
      <c r="VDF47" s="32" t="s">
        <v>92</v>
      </c>
      <c r="VDG47" s="8" t="s">
        <v>132</v>
      </c>
      <c r="VDH47" s="22" t="s">
        <v>46</v>
      </c>
      <c r="VDI47" s="8" t="s">
        <v>433</v>
      </c>
      <c r="VDJ47" s="32" t="s">
        <v>92</v>
      </c>
      <c r="VDK47" s="8" t="s">
        <v>132</v>
      </c>
      <c r="VDL47" s="22" t="s">
        <v>46</v>
      </c>
      <c r="VDM47" s="8" t="s">
        <v>433</v>
      </c>
      <c r="VDN47" s="32" t="s">
        <v>92</v>
      </c>
      <c r="VDO47" s="8" t="s">
        <v>132</v>
      </c>
      <c r="VDP47" s="22" t="s">
        <v>46</v>
      </c>
      <c r="VDQ47" s="8" t="s">
        <v>433</v>
      </c>
      <c r="VDR47" s="32" t="s">
        <v>92</v>
      </c>
      <c r="VDS47" s="8" t="s">
        <v>132</v>
      </c>
      <c r="VDT47" s="22" t="s">
        <v>46</v>
      </c>
      <c r="VDU47" s="8" t="s">
        <v>433</v>
      </c>
      <c r="VDV47" s="32" t="s">
        <v>92</v>
      </c>
      <c r="VDW47" s="8" t="s">
        <v>132</v>
      </c>
      <c r="VDX47" s="22" t="s">
        <v>46</v>
      </c>
      <c r="VDY47" s="8" t="s">
        <v>433</v>
      </c>
      <c r="VDZ47" s="32" t="s">
        <v>92</v>
      </c>
      <c r="VEA47" s="8" t="s">
        <v>132</v>
      </c>
      <c r="VEB47" s="22" t="s">
        <v>46</v>
      </c>
      <c r="VEC47" s="8" t="s">
        <v>433</v>
      </c>
      <c r="VED47" s="32" t="s">
        <v>92</v>
      </c>
      <c r="VEE47" s="8" t="s">
        <v>132</v>
      </c>
      <c r="VEF47" s="22" t="s">
        <v>46</v>
      </c>
      <c r="VEG47" s="8" t="s">
        <v>433</v>
      </c>
      <c r="VEH47" s="32" t="s">
        <v>92</v>
      </c>
      <c r="VEI47" s="8" t="s">
        <v>132</v>
      </c>
      <c r="VEJ47" s="22" t="s">
        <v>46</v>
      </c>
      <c r="VEK47" s="8" t="s">
        <v>433</v>
      </c>
      <c r="VEL47" s="32" t="s">
        <v>92</v>
      </c>
      <c r="VEM47" s="8" t="s">
        <v>132</v>
      </c>
      <c r="VEN47" s="22" t="s">
        <v>46</v>
      </c>
      <c r="VEO47" s="8" t="s">
        <v>433</v>
      </c>
      <c r="VEP47" s="32" t="s">
        <v>92</v>
      </c>
      <c r="VEQ47" s="8" t="s">
        <v>132</v>
      </c>
      <c r="VER47" s="22" t="s">
        <v>46</v>
      </c>
      <c r="VES47" s="8" t="s">
        <v>433</v>
      </c>
      <c r="VET47" s="32" t="s">
        <v>92</v>
      </c>
      <c r="VEU47" s="8" t="s">
        <v>132</v>
      </c>
      <c r="VEV47" s="22" t="s">
        <v>46</v>
      </c>
      <c r="VEW47" s="8" t="s">
        <v>433</v>
      </c>
      <c r="VEX47" s="32" t="s">
        <v>92</v>
      </c>
      <c r="VEY47" s="8" t="s">
        <v>132</v>
      </c>
      <c r="VEZ47" s="22" t="s">
        <v>46</v>
      </c>
      <c r="VFA47" s="8" t="s">
        <v>433</v>
      </c>
      <c r="VFB47" s="32" t="s">
        <v>92</v>
      </c>
      <c r="VFC47" s="8" t="s">
        <v>132</v>
      </c>
      <c r="VFD47" s="22" t="s">
        <v>46</v>
      </c>
      <c r="VFE47" s="8" t="s">
        <v>433</v>
      </c>
      <c r="VFF47" s="32" t="s">
        <v>92</v>
      </c>
      <c r="VFG47" s="8" t="s">
        <v>132</v>
      </c>
      <c r="VFH47" s="22" t="s">
        <v>46</v>
      </c>
      <c r="VFI47" s="8" t="s">
        <v>433</v>
      </c>
      <c r="VFJ47" s="32" t="s">
        <v>92</v>
      </c>
      <c r="VFK47" s="8" t="s">
        <v>132</v>
      </c>
      <c r="VFL47" s="22" t="s">
        <v>46</v>
      </c>
      <c r="VFM47" s="8" t="s">
        <v>433</v>
      </c>
      <c r="VFN47" s="32" t="s">
        <v>92</v>
      </c>
      <c r="VFO47" s="8" t="s">
        <v>132</v>
      </c>
      <c r="VFP47" s="22" t="s">
        <v>46</v>
      </c>
      <c r="VFQ47" s="8" t="s">
        <v>433</v>
      </c>
      <c r="VFR47" s="32" t="s">
        <v>92</v>
      </c>
      <c r="VFS47" s="8" t="s">
        <v>132</v>
      </c>
      <c r="VFT47" s="22" t="s">
        <v>46</v>
      </c>
      <c r="VFU47" s="8" t="s">
        <v>433</v>
      </c>
      <c r="VFV47" s="32" t="s">
        <v>92</v>
      </c>
      <c r="VFW47" s="8" t="s">
        <v>132</v>
      </c>
      <c r="VFX47" s="22" t="s">
        <v>46</v>
      </c>
      <c r="VFY47" s="8" t="s">
        <v>433</v>
      </c>
      <c r="VFZ47" s="32" t="s">
        <v>92</v>
      </c>
      <c r="VGA47" s="8" t="s">
        <v>132</v>
      </c>
      <c r="VGB47" s="22" t="s">
        <v>46</v>
      </c>
      <c r="VGC47" s="8" t="s">
        <v>433</v>
      </c>
      <c r="VGD47" s="32" t="s">
        <v>92</v>
      </c>
      <c r="VGE47" s="8" t="s">
        <v>132</v>
      </c>
      <c r="VGF47" s="22" t="s">
        <v>46</v>
      </c>
      <c r="VGG47" s="8" t="s">
        <v>433</v>
      </c>
      <c r="VGH47" s="32" t="s">
        <v>92</v>
      </c>
      <c r="VGI47" s="8" t="s">
        <v>132</v>
      </c>
      <c r="VGJ47" s="22" t="s">
        <v>46</v>
      </c>
      <c r="VGK47" s="8" t="s">
        <v>433</v>
      </c>
      <c r="VGL47" s="32" t="s">
        <v>92</v>
      </c>
      <c r="VGM47" s="8" t="s">
        <v>132</v>
      </c>
      <c r="VGN47" s="22" t="s">
        <v>46</v>
      </c>
      <c r="VGO47" s="8" t="s">
        <v>433</v>
      </c>
      <c r="VGP47" s="32" t="s">
        <v>92</v>
      </c>
      <c r="VGQ47" s="8" t="s">
        <v>132</v>
      </c>
      <c r="VGR47" s="22" t="s">
        <v>46</v>
      </c>
      <c r="VGS47" s="8" t="s">
        <v>433</v>
      </c>
      <c r="VGT47" s="32" t="s">
        <v>92</v>
      </c>
      <c r="VGU47" s="8" t="s">
        <v>132</v>
      </c>
      <c r="VGV47" s="22" t="s">
        <v>46</v>
      </c>
      <c r="VGW47" s="8" t="s">
        <v>433</v>
      </c>
      <c r="VGX47" s="32" t="s">
        <v>92</v>
      </c>
      <c r="VGY47" s="8" t="s">
        <v>132</v>
      </c>
      <c r="VGZ47" s="22" t="s">
        <v>46</v>
      </c>
      <c r="VHA47" s="8" t="s">
        <v>433</v>
      </c>
      <c r="VHB47" s="32" t="s">
        <v>92</v>
      </c>
      <c r="VHC47" s="8" t="s">
        <v>132</v>
      </c>
      <c r="VHD47" s="22" t="s">
        <v>46</v>
      </c>
      <c r="VHE47" s="8" t="s">
        <v>433</v>
      </c>
      <c r="VHF47" s="32" t="s">
        <v>92</v>
      </c>
      <c r="VHG47" s="8" t="s">
        <v>132</v>
      </c>
      <c r="VHH47" s="22" t="s">
        <v>46</v>
      </c>
      <c r="VHI47" s="8" t="s">
        <v>433</v>
      </c>
      <c r="VHJ47" s="32" t="s">
        <v>92</v>
      </c>
      <c r="VHK47" s="8" t="s">
        <v>132</v>
      </c>
      <c r="VHL47" s="22" t="s">
        <v>46</v>
      </c>
      <c r="VHM47" s="8" t="s">
        <v>433</v>
      </c>
      <c r="VHN47" s="32" t="s">
        <v>92</v>
      </c>
      <c r="VHO47" s="8" t="s">
        <v>132</v>
      </c>
      <c r="VHP47" s="22" t="s">
        <v>46</v>
      </c>
      <c r="VHQ47" s="8" t="s">
        <v>433</v>
      </c>
      <c r="VHR47" s="32" t="s">
        <v>92</v>
      </c>
      <c r="VHS47" s="8" t="s">
        <v>132</v>
      </c>
      <c r="VHT47" s="22" t="s">
        <v>46</v>
      </c>
      <c r="VHU47" s="8" t="s">
        <v>433</v>
      </c>
      <c r="VHV47" s="32" t="s">
        <v>92</v>
      </c>
      <c r="VHW47" s="8" t="s">
        <v>132</v>
      </c>
      <c r="VHX47" s="22" t="s">
        <v>46</v>
      </c>
      <c r="VHY47" s="8" t="s">
        <v>433</v>
      </c>
      <c r="VHZ47" s="32" t="s">
        <v>92</v>
      </c>
      <c r="VIA47" s="8" t="s">
        <v>132</v>
      </c>
      <c r="VIB47" s="22" t="s">
        <v>46</v>
      </c>
      <c r="VIC47" s="8" t="s">
        <v>433</v>
      </c>
      <c r="VID47" s="32" t="s">
        <v>92</v>
      </c>
      <c r="VIE47" s="8" t="s">
        <v>132</v>
      </c>
      <c r="VIF47" s="22" t="s">
        <v>46</v>
      </c>
      <c r="VIG47" s="8" t="s">
        <v>433</v>
      </c>
      <c r="VIH47" s="32" t="s">
        <v>92</v>
      </c>
      <c r="VII47" s="8" t="s">
        <v>132</v>
      </c>
      <c r="VIJ47" s="22" t="s">
        <v>46</v>
      </c>
      <c r="VIK47" s="8" t="s">
        <v>433</v>
      </c>
      <c r="VIL47" s="32" t="s">
        <v>92</v>
      </c>
      <c r="VIM47" s="8" t="s">
        <v>132</v>
      </c>
      <c r="VIN47" s="22" t="s">
        <v>46</v>
      </c>
      <c r="VIO47" s="8" t="s">
        <v>433</v>
      </c>
      <c r="VIP47" s="32" t="s">
        <v>92</v>
      </c>
      <c r="VIQ47" s="8" t="s">
        <v>132</v>
      </c>
      <c r="VIR47" s="22" t="s">
        <v>46</v>
      </c>
      <c r="VIS47" s="8" t="s">
        <v>433</v>
      </c>
      <c r="VIT47" s="32" t="s">
        <v>92</v>
      </c>
      <c r="VIU47" s="8" t="s">
        <v>132</v>
      </c>
      <c r="VIV47" s="22" t="s">
        <v>46</v>
      </c>
      <c r="VIW47" s="8" t="s">
        <v>433</v>
      </c>
      <c r="VIX47" s="32" t="s">
        <v>92</v>
      </c>
      <c r="VIY47" s="8" t="s">
        <v>132</v>
      </c>
      <c r="VIZ47" s="22" t="s">
        <v>46</v>
      </c>
      <c r="VJA47" s="8" t="s">
        <v>433</v>
      </c>
      <c r="VJB47" s="32" t="s">
        <v>92</v>
      </c>
      <c r="VJC47" s="8" t="s">
        <v>132</v>
      </c>
      <c r="VJD47" s="22" t="s">
        <v>46</v>
      </c>
      <c r="VJE47" s="8" t="s">
        <v>433</v>
      </c>
      <c r="VJF47" s="32" t="s">
        <v>92</v>
      </c>
      <c r="VJG47" s="8" t="s">
        <v>132</v>
      </c>
      <c r="VJH47" s="22" t="s">
        <v>46</v>
      </c>
      <c r="VJI47" s="8" t="s">
        <v>433</v>
      </c>
      <c r="VJJ47" s="32" t="s">
        <v>92</v>
      </c>
      <c r="VJK47" s="8" t="s">
        <v>132</v>
      </c>
      <c r="VJL47" s="22" t="s">
        <v>46</v>
      </c>
      <c r="VJM47" s="8" t="s">
        <v>433</v>
      </c>
      <c r="VJN47" s="32" t="s">
        <v>92</v>
      </c>
      <c r="VJO47" s="8" t="s">
        <v>132</v>
      </c>
      <c r="VJP47" s="22" t="s">
        <v>46</v>
      </c>
      <c r="VJQ47" s="8" t="s">
        <v>433</v>
      </c>
      <c r="VJR47" s="32" t="s">
        <v>92</v>
      </c>
      <c r="VJS47" s="8" t="s">
        <v>132</v>
      </c>
      <c r="VJT47" s="22" t="s">
        <v>46</v>
      </c>
      <c r="VJU47" s="8" t="s">
        <v>433</v>
      </c>
      <c r="VJV47" s="32" t="s">
        <v>92</v>
      </c>
      <c r="VJW47" s="8" t="s">
        <v>132</v>
      </c>
      <c r="VJX47" s="22" t="s">
        <v>46</v>
      </c>
      <c r="VJY47" s="8" t="s">
        <v>433</v>
      </c>
      <c r="VJZ47" s="32" t="s">
        <v>92</v>
      </c>
      <c r="VKA47" s="8" t="s">
        <v>132</v>
      </c>
      <c r="VKB47" s="22" t="s">
        <v>46</v>
      </c>
      <c r="VKC47" s="8" t="s">
        <v>433</v>
      </c>
      <c r="VKD47" s="32" t="s">
        <v>92</v>
      </c>
      <c r="VKE47" s="8" t="s">
        <v>132</v>
      </c>
      <c r="VKF47" s="22" t="s">
        <v>46</v>
      </c>
      <c r="VKG47" s="8" t="s">
        <v>433</v>
      </c>
      <c r="VKH47" s="32" t="s">
        <v>92</v>
      </c>
      <c r="VKI47" s="8" t="s">
        <v>132</v>
      </c>
      <c r="VKJ47" s="22" t="s">
        <v>46</v>
      </c>
      <c r="VKK47" s="8" t="s">
        <v>433</v>
      </c>
      <c r="VKL47" s="32" t="s">
        <v>92</v>
      </c>
      <c r="VKM47" s="8" t="s">
        <v>132</v>
      </c>
      <c r="VKN47" s="22" t="s">
        <v>46</v>
      </c>
      <c r="VKO47" s="8" t="s">
        <v>433</v>
      </c>
      <c r="VKP47" s="32" t="s">
        <v>92</v>
      </c>
      <c r="VKQ47" s="8" t="s">
        <v>132</v>
      </c>
      <c r="VKR47" s="22" t="s">
        <v>46</v>
      </c>
      <c r="VKS47" s="8" t="s">
        <v>433</v>
      </c>
      <c r="VKT47" s="32" t="s">
        <v>92</v>
      </c>
      <c r="VKU47" s="8" t="s">
        <v>132</v>
      </c>
      <c r="VKV47" s="22" t="s">
        <v>46</v>
      </c>
      <c r="VKW47" s="8" t="s">
        <v>433</v>
      </c>
      <c r="VKX47" s="32" t="s">
        <v>92</v>
      </c>
      <c r="VKY47" s="8" t="s">
        <v>132</v>
      </c>
      <c r="VKZ47" s="22" t="s">
        <v>46</v>
      </c>
      <c r="VLA47" s="8" t="s">
        <v>433</v>
      </c>
      <c r="VLB47" s="32" t="s">
        <v>92</v>
      </c>
      <c r="VLC47" s="8" t="s">
        <v>132</v>
      </c>
      <c r="VLD47" s="22" t="s">
        <v>46</v>
      </c>
      <c r="VLE47" s="8" t="s">
        <v>433</v>
      </c>
      <c r="VLF47" s="32" t="s">
        <v>92</v>
      </c>
      <c r="VLG47" s="8" t="s">
        <v>132</v>
      </c>
      <c r="VLH47" s="22" t="s">
        <v>46</v>
      </c>
      <c r="VLI47" s="8" t="s">
        <v>433</v>
      </c>
      <c r="VLJ47" s="32" t="s">
        <v>92</v>
      </c>
      <c r="VLK47" s="8" t="s">
        <v>132</v>
      </c>
      <c r="VLL47" s="22" t="s">
        <v>46</v>
      </c>
      <c r="VLM47" s="8" t="s">
        <v>433</v>
      </c>
      <c r="VLN47" s="32" t="s">
        <v>92</v>
      </c>
      <c r="VLO47" s="8" t="s">
        <v>132</v>
      </c>
      <c r="VLP47" s="22" t="s">
        <v>46</v>
      </c>
      <c r="VLQ47" s="8" t="s">
        <v>433</v>
      </c>
      <c r="VLR47" s="32" t="s">
        <v>92</v>
      </c>
      <c r="VLS47" s="8" t="s">
        <v>132</v>
      </c>
      <c r="VLT47" s="22" t="s">
        <v>46</v>
      </c>
      <c r="VLU47" s="8" t="s">
        <v>433</v>
      </c>
      <c r="VLV47" s="32" t="s">
        <v>92</v>
      </c>
      <c r="VLW47" s="8" t="s">
        <v>132</v>
      </c>
      <c r="VLX47" s="22" t="s">
        <v>46</v>
      </c>
      <c r="VLY47" s="8" t="s">
        <v>433</v>
      </c>
      <c r="VLZ47" s="32" t="s">
        <v>92</v>
      </c>
      <c r="VMA47" s="8" t="s">
        <v>132</v>
      </c>
      <c r="VMB47" s="22" t="s">
        <v>46</v>
      </c>
      <c r="VMC47" s="8" t="s">
        <v>433</v>
      </c>
      <c r="VMD47" s="32" t="s">
        <v>92</v>
      </c>
      <c r="VME47" s="8" t="s">
        <v>132</v>
      </c>
      <c r="VMF47" s="22" t="s">
        <v>46</v>
      </c>
      <c r="VMG47" s="8" t="s">
        <v>433</v>
      </c>
      <c r="VMH47" s="32" t="s">
        <v>92</v>
      </c>
      <c r="VMI47" s="8" t="s">
        <v>132</v>
      </c>
      <c r="VMJ47" s="22" t="s">
        <v>46</v>
      </c>
      <c r="VMK47" s="8" t="s">
        <v>433</v>
      </c>
      <c r="VML47" s="32" t="s">
        <v>92</v>
      </c>
      <c r="VMM47" s="8" t="s">
        <v>132</v>
      </c>
      <c r="VMN47" s="22" t="s">
        <v>46</v>
      </c>
      <c r="VMO47" s="8" t="s">
        <v>433</v>
      </c>
      <c r="VMP47" s="32" t="s">
        <v>92</v>
      </c>
      <c r="VMQ47" s="8" t="s">
        <v>132</v>
      </c>
      <c r="VMR47" s="22" t="s">
        <v>46</v>
      </c>
      <c r="VMS47" s="8" t="s">
        <v>433</v>
      </c>
      <c r="VMT47" s="32" t="s">
        <v>92</v>
      </c>
      <c r="VMU47" s="8" t="s">
        <v>132</v>
      </c>
      <c r="VMV47" s="22" t="s">
        <v>46</v>
      </c>
      <c r="VMW47" s="8" t="s">
        <v>433</v>
      </c>
      <c r="VMX47" s="32" t="s">
        <v>92</v>
      </c>
      <c r="VMY47" s="8" t="s">
        <v>132</v>
      </c>
      <c r="VMZ47" s="22" t="s">
        <v>46</v>
      </c>
      <c r="VNA47" s="8" t="s">
        <v>433</v>
      </c>
      <c r="VNB47" s="32" t="s">
        <v>92</v>
      </c>
      <c r="VNC47" s="8" t="s">
        <v>132</v>
      </c>
      <c r="VND47" s="22" t="s">
        <v>46</v>
      </c>
      <c r="VNE47" s="8" t="s">
        <v>433</v>
      </c>
      <c r="VNF47" s="32" t="s">
        <v>92</v>
      </c>
      <c r="VNG47" s="8" t="s">
        <v>132</v>
      </c>
      <c r="VNH47" s="22" t="s">
        <v>46</v>
      </c>
      <c r="VNI47" s="8" t="s">
        <v>433</v>
      </c>
      <c r="VNJ47" s="32" t="s">
        <v>92</v>
      </c>
      <c r="VNK47" s="8" t="s">
        <v>132</v>
      </c>
      <c r="VNL47" s="22" t="s">
        <v>46</v>
      </c>
      <c r="VNM47" s="8" t="s">
        <v>433</v>
      </c>
      <c r="VNN47" s="32" t="s">
        <v>92</v>
      </c>
      <c r="VNO47" s="8" t="s">
        <v>132</v>
      </c>
      <c r="VNP47" s="22" t="s">
        <v>46</v>
      </c>
      <c r="VNQ47" s="8" t="s">
        <v>433</v>
      </c>
      <c r="VNR47" s="32" t="s">
        <v>92</v>
      </c>
      <c r="VNS47" s="8" t="s">
        <v>132</v>
      </c>
      <c r="VNT47" s="22" t="s">
        <v>46</v>
      </c>
      <c r="VNU47" s="8" t="s">
        <v>433</v>
      </c>
      <c r="VNV47" s="32" t="s">
        <v>92</v>
      </c>
      <c r="VNW47" s="8" t="s">
        <v>132</v>
      </c>
      <c r="VNX47" s="22" t="s">
        <v>46</v>
      </c>
      <c r="VNY47" s="8" t="s">
        <v>433</v>
      </c>
      <c r="VNZ47" s="32" t="s">
        <v>92</v>
      </c>
      <c r="VOA47" s="8" t="s">
        <v>132</v>
      </c>
      <c r="VOB47" s="22" t="s">
        <v>46</v>
      </c>
      <c r="VOC47" s="8" t="s">
        <v>433</v>
      </c>
      <c r="VOD47" s="32" t="s">
        <v>92</v>
      </c>
      <c r="VOE47" s="8" t="s">
        <v>132</v>
      </c>
      <c r="VOF47" s="22" t="s">
        <v>46</v>
      </c>
      <c r="VOG47" s="8" t="s">
        <v>433</v>
      </c>
      <c r="VOH47" s="32" t="s">
        <v>92</v>
      </c>
      <c r="VOI47" s="8" t="s">
        <v>132</v>
      </c>
      <c r="VOJ47" s="22" t="s">
        <v>46</v>
      </c>
      <c r="VOK47" s="8" t="s">
        <v>433</v>
      </c>
      <c r="VOL47" s="32" t="s">
        <v>92</v>
      </c>
      <c r="VOM47" s="8" t="s">
        <v>132</v>
      </c>
      <c r="VON47" s="22" t="s">
        <v>46</v>
      </c>
      <c r="VOO47" s="8" t="s">
        <v>433</v>
      </c>
      <c r="VOP47" s="32" t="s">
        <v>92</v>
      </c>
      <c r="VOQ47" s="8" t="s">
        <v>132</v>
      </c>
      <c r="VOR47" s="22" t="s">
        <v>46</v>
      </c>
      <c r="VOS47" s="8" t="s">
        <v>433</v>
      </c>
      <c r="VOT47" s="32" t="s">
        <v>92</v>
      </c>
      <c r="VOU47" s="8" t="s">
        <v>132</v>
      </c>
      <c r="VOV47" s="22" t="s">
        <v>46</v>
      </c>
      <c r="VOW47" s="8" t="s">
        <v>433</v>
      </c>
      <c r="VOX47" s="32" t="s">
        <v>92</v>
      </c>
      <c r="VOY47" s="8" t="s">
        <v>132</v>
      </c>
      <c r="VOZ47" s="22" t="s">
        <v>46</v>
      </c>
      <c r="VPA47" s="8" t="s">
        <v>433</v>
      </c>
      <c r="VPB47" s="32" t="s">
        <v>92</v>
      </c>
      <c r="VPC47" s="8" t="s">
        <v>132</v>
      </c>
      <c r="VPD47" s="22" t="s">
        <v>46</v>
      </c>
      <c r="VPE47" s="8" t="s">
        <v>433</v>
      </c>
      <c r="VPF47" s="32" t="s">
        <v>92</v>
      </c>
      <c r="VPG47" s="8" t="s">
        <v>132</v>
      </c>
      <c r="VPH47" s="22" t="s">
        <v>46</v>
      </c>
      <c r="VPI47" s="8" t="s">
        <v>433</v>
      </c>
      <c r="VPJ47" s="32" t="s">
        <v>92</v>
      </c>
      <c r="VPK47" s="8" t="s">
        <v>132</v>
      </c>
      <c r="VPL47" s="22" t="s">
        <v>46</v>
      </c>
      <c r="VPM47" s="8" t="s">
        <v>433</v>
      </c>
      <c r="VPN47" s="32" t="s">
        <v>92</v>
      </c>
      <c r="VPO47" s="8" t="s">
        <v>132</v>
      </c>
      <c r="VPP47" s="22" t="s">
        <v>46</v>
      </c>
      <c r="VPQ47" s="8" t="s">
        <v>433</v>
      </c>
      <c r="VPR47" s="32" t="s">
        <v>92</v>
      </c>
      <c r="VPS47" s="8" t="s">
        <v>132</v>
      </c>
      <c r="VPT47" s="22" t="s">
        <v>46</v>
      </c>
      <c r="VPU47" s="8" t="s">
        <v>433</v>
      </c>
      <c r="VPV47" s="32" t="s">
        <v>92</v>
      </c>
      <c r="VPW47" s="8" t="s">
        <v>132</v>
      </c>
      <c r="VPX47" s="22" t="s">
        <v>46</v>
      </c>
      <c r="VPY47" s="8" t="s">
        <v>433</v>
      </c>
      <c r="VPZ47" s="32" t="s">
        <v>92</v>
      </c>
      <c r="VQA47" s="8" t="s">
        <v>132</v>
      </c>
      <c r="VQB47" s="22" t="s">
        <v>46</v>
      </c>
      <c r="VQC47" s="8" t="s">
        <v>433</v>
      </c>
      <c r="VQD47" s="32" t="s">
        <v>92</v>
      </c>
      <c r="VQE47" s="8" t="s">
        <v>132</v>
      </c>
      <c r="VQF47" s="22" t="s">
        <v>46</v>
      </c>
      <c r="VQG47" s="8" t="s">
        <v>433</v>
      </c>
      <c r="VQH47" s="32" t="s">
        <v>92</v>
      </c>
      <c r="VQI47" s="8" t="s">
        <v>132</v>
      </c>
      <c r="VQJ47" s="22" t="s">
        <v>46</v>
      </c>
      <c r="VQK47" s="8" t="s">
        <v>433</v>
      </c>
      <c r="VQL47" s="32" t="s">
        <v>92</v>
      </c>
      <c r="VQM47" s="8" t="s">
        <v>132</v>
      </c>
      <c r="VQN47" s="22" t="s">
        <v>46</v>
      </c>
      <c r="VQO47" s="8" t="s">
        <v>433</v>
      </c>
      <c r="VQP47" s="32" t="s">
        <v>92</v>
      </c>
      <c r="VQQ47" s="8" t="s">
        <v>132</v>
      </c>
      <c r="VQR47" s="22" t="s">
        <v>46</v>
      </c>
      <c r="VQS47" s="8" t="s">
        <v>433</v>
      </c>
      <c r="VQT47" s="32" t="s">
        <v>92</v>
      </c>
      <c r="VQU47" s="8" t="s">
        <v>132</v>
      </c>
      <c r="VQV47" s="22" t="s">
        <v>46</v>
      </c>
      <c r="VQW47" s="8" t="s">
        <v>433</v>
      </c>
      <c r="VQX47" s="32" t="s">
        <v>92</v>
      </c>
      <c r="VQY47" s="8" t="s">
        <v>132</v>
      </c>
      <c r="VQZ47" s="22" t="s">
        <v>46</v>
      </c>
      <c r="VRA47" s="8" t="s">
        <v>433</v>
      </c>
      <c r="VRB47" s="32" t="s">
        <v>92</v>
      </c>
      <c r="VRC47" s="8" t="s">
        <v>132</v>
      </c>
      <c r="VRD47" s="22" t="s">
        <v>46</v>
      </c>
      <c r="VRE47" s="8" t="s">
        <v>433</v>
      </c>
      <c r="VRF47" s="32" t="s">
        <v>92</v>
      </c>
      <c r="VRG47" s="8" t="s">
        <v>132</v>
      </c>
      <c r="VRH47" s="22" t="s">
        <v>46</v>
      </c>
      <c r="VRI47" s="8" t="s">
        <v>433</v>
      </c>
      <c r="VRJ47" s="32" t="s">
        <v>92</v>
      </c>
      <c r="VRK47" s="8" t="s">
        <v>132</v>
      </c>
      <c r="VRL47" s="22" t="s">
        <v>46</v>
      </c>
      <c r="VRM47" s="8" t="s">
        <v>433</v>
      </c>
      <c r="VRN47" s="32" t="s">
        <v>92</v>
      </c>
      <c r="VRO47" s="8" t="s">
        <v>132</v>
      </c>
      <c r="VRP47" s="22" t="s">
        <v>46</v>
      </c>
      <c r="VRQ47" s="8" t="s">
        <v>433</v>
      </c>
      <c r="VRR47" s="32" t="s">
        <v>92</v>
      </c>
      <c r="VRS47" s="8" t="s">
        <v>132</v>
      </c>
      <c r="VRT47" s="22" t="s">
        <v>46</v>
      </c>
      <c r="VRU47" s="8" t="s">
        <v>433</v>
      </c>
      <c r="VRV47" s="32" t="s">
        <v>92</v>
      </c>
      <c r="VRW47" s="8" t="s">
        <v>132</v>
      </c>
      <c r="VRX47" s="22" t="s">
        <v>46</v>
      </c>
      <c r="VRY47" s="8" t="s">
        <v>433</v>
      </c>
      <c r="VRZ47" s="32" t="s">
        <v>92</v>
      </c>
      <c r="VSA47" s="8" t="s">
        <v>132</v>
      </c>
      <c r="VSB47" s="22" t="s">
        <v>46</v>
      </c>
      <c r="VSC47" s="8" t="s">
        <v>433</v>
      </c>
      <c r="VSD47" s="32" t="s">
        <v>92</v>
      </c>
      <c r="VSE47" s="8" t="s">
        <v>132</v>
      </c>
      <c r="VSF47" s="22" t="s">
        <v>46</v>
      </c>
      <c r="VSG47" s="8" t="s">
        <v>433</v>
      </c>
      <c r="VSH47" s="32" t="s">
        <v>92</v>
      </c>
      <c r="VSI47" s="8" t="s">
        <v>132</v>
      </c>
      <c r="VSJ47" s="22" t="s">
        <v>46</v>
      </c>
      <c r="VSK47" s="8" t="s">
        <v>433</v>
      </c>
      <c r="VSL47" s="32" t="s">
        <v>92</v>
      </c>
      <c r="VSM47" s="8" t="s">
        <v>132</v>
      </c>
      <c r="VSN47" s="22" t="s">
        <v>46</v>
      </c>
      <c r="VSO47" s="8" t="s">
        <v>433</v>
      </c>
      <c r="VSP47" s="32" t="s">
        <v>92</v>
      </c>
      <c r="VSQ47" s="8" t="s">
        <v>132</v>
      </c>
      <c r="VSR47" s="22" t="s">
        <v>46</v>
      </c>
      <c r="VSS47" s="8" t="s">
        <v>433</v>
      </c>
      <c r="VST47" s="32" t="s">
        <v>92</v>
      </c>
      <c r="VSU47" s="8" t="s">
        <v>132</v>
      </c>
      <c r="VSV47" s="22" t="s">
        <v>46</v>
      </c>
      <c r="VSW47" s="8" t="s">
        <v>433</v>
      </c>
      <c r="VSX47" s="32" t="s">
        <v>92</v>
      </c>
      <c r="VSY47" s="8" t="s">
        <v>132</v>
      </c>
      <c r="VSZ47" s="22" t="s">
        <v>46</v>
      </c>
      <c r="VTA47" s="8" t="s">
        <v>433</v>
      </c>
      <c r="VTB47" s="32" t="s">
        <v>92</v>
      </c>
      <c r="VTC47" s="8" t="s">
        <v>132</v>
      </c>
      <c r="VTD47" s="22" t="s">
        <v>46</v>
      </c>
      <c r="VTE47" s="8" t="s">
        <v>433</v>
      </c>
      <c r="VTF47" s="32" t="s">
        <v>92</v>
      </c>
      <c r="VTG47" s="8" t="s">
        <v>132</v>
      </c>
      <c r="VTH47" s="22" t="s">
        <v>46</v>
      </c>
      <c r="VTI47" s="8" t="s">
        <v>433</v>
      </c>
      <c r="VTJ47" s="32" t="s">
        <v>92</v>
      </c>
      <c r="VTK47" s="8" t="s">
        <v>132</v>
      </c>
      <c r="VTL47" s="22" t="s">
        <v>46</v>
      </c>
      <c r="VTM47" s="8" t="s">
        <v>433</v>
      </c>
      <c r="VTN47" s="32" t="s">
        <v>92</v>
      </c>
      <c r="VTO47" s="8" t="s">
        <v>132</v>
      </c>
      <c r="VTP47" s="22" t="s">
        <v>46</v>
      </c>
      <c r="VTQ47" s="8" t="s">
        <v>433</v>
      </c>
      <c r="VTR47" s="32" t="s">
        <v>92</v>
      </c>
      <c r="VTS47" s="8" t="s">
        <v>132</v>
      </c>
      <c r="VTT47" s="22" t="s">
        <v>46</v>
      </c>
      <c r="VTU47" s="8" t="s">
        <v>433</v>
      </c>
      <c r="VTV47" s="32" t="s">
        <v>92</v>
      </c>
      <c r="VTW47" s="8" t="s">
        <v>132</v>
      </c>
      <c r="VTX47" s="22" t="s">
        <v>46</v>
      </c>
      <c r="VTY47" s="8" t="s">
        <v>433</v>
      </c>
      <c r="VTZ47" s="32" t="s">
        <v>92</v>
      </c>
      <c r="VUA47" s="8" t="s">
        <v>132</v>
      </c>
      <c r="VUB47" s="22" t="s">
        <v>46</v>
      </c>
      <c r="VUC47" s="8" t="s">
        <v>433</v>
      </c>
      <c r="VUD47" s="32" t="s">
        <v>92</v>
      </c>
      <c r="VUE47" s="8" t="s">
        <v>132</v>
      </c>
      <c r="VUF47" s="22" t="s">
        <v>46</v>
      </c>
      <c r="VUG47" s="8" t="s">
        <v>433</v>
      </c>
      <c r="VUH47" s="32" t="s">
        <v>92</v>
      </c>
      <c r="VUI47" s="8" t="s">
        <v>132</v>
      </c>
      <c r="VUJ47" s="22" t="s">
        <v>46</v>
      </c>
      <c r="VUK47" s="8" t="s">
        <v>433</v>
      </c>
      <c r="VUL47" s="32" t="s">
        <v>92</v>
      </c>
      <c r="VUM47" s="8" t="s">
        <v>132</v>
      </c>
      <c r="VUN47" s="22" t="s">
        <v>46</v>
      </c>
      <c r="VUO47" s="8" t="s">
        <v>433</v>
      </c>
      <c r="VUP47" s="32" t="s">
        <v>92</v>
      </c>
      <c r="VUQ47" s="8" t="s">
        <v>132</v>
      </c>
      <c r="VUR47" s="22" t="s">
        <v>46</v>
      </c>
      <c r="VUS47" s="8" t="s">
        <v>433</v>
      </c>
      <c r="VUT47" s="32" t="s">
        <v>92</v>
      </c>
      <c r="VUU47" s="8" t="s">
        <v>132</v>
      </c>
      <c r="VUV47" s="22" t="s">
        <v>46</v>
      </c>
      <c r="VUW47" s="8" t="s">
        <v>433</v>
      </c>
      <c r="VUX47" s="32" t="s">
        <v>92</v>
      </c>
      <c r="VUY47" s="8" t="s">
        <v>132</v>
      </c>
      <c r="VUZ47" s="22" t="s">
        <v>46</v>
      </c>
      <c r="VVA47" s="8" t="s">
        <v>433</v>
      </c>
      <c r="VVB47" s="32" t="s">
        <v>92</v>
      </c>
      <c r="VVC47" s="8" t="s">
        <v>132</v>
      </c>
      <c r="VVD47" s="22" t="s">
        <v>46</v>
      </c>
      <c r="VVE47" s="8" t="s">
        <v>433</v>
      </c>
      <c r="VVF47" s="32" t="s">
        <v>92</v>
      </c>
      <c r="VVG47" s="8" t="s">
        <v>132</v>
      </c>
      <c r="VVH47" s="22" t="s">
        <v>46</v>
      </c>
      <c r="VVI47" s="8" t="s">
        <v>433</v>
      </c>
      <c r="VVJ47" s="32" t="s">
        <v>92</v>
      </c>
      <c r="VVK47" s="8" t="s">
        <v>132</v>
      </c>
      <c r="VVL47" s="22" t="s">
        <v>46</v>
      </c>
      <c r="VVM47" s="8" t="s">
        <v>433</v>
      </c>
      <c r="VVN47" s="32" t="s">
        <v>92</v>
      </c>
      <c r="VVO47" s="8" t="s">
        <v>132</v>
      </c>
      <c r="VVP47" s="22" t="s">
        <v>46</v>
      </c>
      <c r="VVQ47" s="8" t="s">
        <v>433</v>
      </c>
      <c r="VVR47" s="32" t="s">
        <v>92</v>
      </c>
      <c r="VVS47" s="8" t="s">
        <v>132</v>
      </c>
      <c r="VVT47" s="22" t="s">
        <v>46</v>
      </c>
      <c r="VVU47" s="8" t="s">
        <v>433</v>
      </c>
      <c r="VVV47" s="32" t="s">
        <v>92</v>
      </c>
      <c r="VVW47" s="8" t="s">
        <v>132</v>
      </c>
      <c r="VVX47" s="22" t="s">
        <v>46</v>
      </c>
      <c r="VVY47" s="8" t="s">
        <v>433</v>
      </c>
      <c r="VVZ47" s="32" t="s">
        <v>92</v>
      </c>
      <c r="VWA47" s="8" t="s">
        <v>132</v>
      </c>
      <c r="VWB47" s="22" t="s">
        <v>46</v>
      </c>
      <c r="VWC47" s="8" t="s">
        <v>433</v>
      </c>
      <c r="VWD47" s="32" t="s">
        <v>92</v>
      </c>
      <c r="VWE47" s="8" t="s">
        <v>132</v>
      </c>
      <c r="VWF47" s="22" t="s">
        <v>46</v>
      </c>
      <c r="VWG47" s="8" t="s">
        <v>433</v>
      </c>
      <c r="VWH47" s="32" t="s">
        <v>92</v>
      </c>
      <c r="VWI47" s="8" t="s">
        <v>132</v>
      </c>
      <c r="VWJ47" s="22" t="s">
        <v>46</v>
      </c>
      <c r="VWK47" s="8" t="s">
        <v>433</v>
      </c>
      <c r="VWL47" s="32" t="s">
        <v>92</v>
      </c>
      <c r="VWM47" s="8" t="s">
        <v>132</v>
      </c>
      <c r="VWN47" s="22" t="s">
        <v>46</v>
      </c>
      <c r="VWO47" s="8" t="s">
        <v>433</v>
      </c>
      <c r="VWP47" s="32" t="s">
        <v>92</v>
      </c>
      <c r="VWQ47" s="8" t="s">
        <v>132</v>
      </c>
      <c r="VWR47" s="22" t="s">
        <v>46</v>
      </c>
      <c r="VWS47" s="8" t="s">
        <v>433</v>
      </c>
      <c r="VWT47" s="32" t="s">
        <v>92</v>
      </c>
      <c r="VWU47" s="8" t="s">
        <v>132</v>
      </c>
      <c r="VWV47" s="22" t="s">
        <v>46</v>
      </c>
      <c r="VWW47" s="8" t="s">
        <v>433</v>
      </c>
      <c r="VWX47" s="32" t="s">
        <v>92</v>
      </c>
      <c r="VWY47" s="8" t="s">
        <v>132</v>
      </c>
      <c r="VWZ47" s="22" t="s">
        <v>46</v>
      </c>
      <c r="VXA47" s="8" t="s">
        <v>433</v>
      </c>
      <c r="VXB47" s="32" t="s">
        <v>92</v>
      </c>
      <c r="VXC47" s="8" t="s">
        <v>132</v>
      </c>
      <c r="VXD47" s="22" t="s">
        <v>46</v>
      </c>
      <c r="VXE47" s="8" t="s">
        <v>433</v>
      </c>
      <c r="VXF47" s="32" t="s">
        <v>92</v>
      </c>
      <c r="VXG47" s="8" t="s">
        <v>132</v>
      </c>
      <c r="VXH47" s="22" t="s">
        <v>46</v>
      </c>
      <c r="VXI47" s="8" t="s">
        <v>433</v>
      </c>
      <c r="VXJ47" s="32" t="s">
        <v>92</v>
      </c>
      <c r="VXK47" s="8" t="s">
        <v>132</v>
      </c>
      <c r="VXL47" s="22" t="s">
        <v>46</v>
      </c>
      <c r="VXM47" s="8" t="s">
        <v>433</v>
      </c>
      <c r="VXN47" s="32" t="s">
        <v>92</v>
      </c>
      <c r="VXO47" s="8" t="s">
        <v>132</v>
      </c>
      <c r="VXP47" s="22" t="s">
        <v>46</v>
      </c>
      <c r="VXQ47" s="8" t="s">
        <v>433</v>
      </c>
      <c r="VXR47" s="32" t="s">
        <v>92</v>
      </c>
      <c r="VXS47" s="8" t="s">
        <v>132</v>
      </c>
      <c r="VXT47" s="22" t="s">
        <v>46</v>
      </c>
      <c r="VXU47" s="8" t="s">
        <v>433</v>
      </c>
      <c r="VXV47" s="32" t="s">
        <v>92</v>
      </c>
      <c r="VXW47" s="8" t="s">
        <v>132</v>
      </c>
      <c r="VXX47" s="22" t="s">
        <v>46</v>
      </c>
      <c r="VXY47" s="8" t="s">
        <v>433</v>
      </c>
      <c r="VXZ47" s="32" t="s">
        <v>92</v>
      </c>
      <c r="VYA47" s="8" t="s">
        <v>132</v>
      </c>
      <c r="VYB47" s="22" t="s">
        <v>46</v>
      </c>
      <c r="VYC47" s="8" t="s">
        <v>433</v>
      </c>
      <c r="VYD47" s="32" t="s">
        <v>92</v>
      </c>
      <c r="VYE47" s="8" t="s">
        <v>132</v>
      </c>
      <c r="VYF47" s="22" t="s">
        <v>46</v>
      </c>
      <c r="VYG47" s="8" t="s">
        <v>433</v>
      </c>
      <c r="VYH47" s="32" t="s">
        <v>92</v>
      </c>
      <c r="VYI47" s="8" t="s">
        <v>132</v>
      </c>
      <c r="VYJ47" s="22" t="s">
        <v>46</v>
      </c>
      <c r="VYK47" s="8" t="s">
        <v>433</v>
      </c>
      <c r="VYL47" s="32" t="s">
        <v>92</v>
      </c>
      <c r="VYM47" s="8" t="s">
        <v>132</v>
      </c>
      <c r="VYN47" s="22" t="s">
        <v>46</v>
      </c>
      <c r="VYO47" s="8" t="s">
        <v>433</v>
      </c>
      <c r="VYP47" s="32" t="s">
        <v>92</v>
      </c>
      <c r="VYQ47" s="8" t="s">
        <v>132</v>
      </c>
      <c r="VYR47" s="22" t="s">
        <v>46</v>
      </c>
      <c r="VYS47" s="8" t="s">
        <v>433</v>
      </c>
      <c r="VYT47" s="32" t="s">
        <v>92</v>
      </c>
      <c r="VYU47" s="8" t="s">
        <v>132</v>
      </c>
      <c r="VYV47" s="22" t="s">
        <v>46</v>
      </c>
      <c r="VYW47" s="8" t="s">
        <v>433</v>
      </c>
      <c r="VYX47" s="32" t="s">
        <v>92</v>
      </c>
      <c r="VYY47" s="8" t="s">
        <v>132</v>
      </c>
      <c r="VYZ47" s="22" t="s">
        <v>46</v>
      </c>
      <c r="VZA47" s="8" t="s">
        <v>433</v>
      </c>
      <c r="VZB47" s="32" t="s">
        <v>92</v>
      </c>
      <c r="VZC47" s="8" t="s">
        <v>132</v>
      </c>
      <c r="VZD47" s="22" t="s">
        <v>46</v>
      </c>
      <c r="VZE47" s="8" t="s">
        <v>433</v>
      </c>
      <c r="VZF47" s="32" t="s">
        <v>92</v>
      </c>
      <c r="VZG47" s="8" t="s">
        <v>132</v>
      </c>
      <c r="VZH47" s="22" t="s">
        <v>46</v>
      </c>
      <c r="VZI47" s="8" t="s">
        <v>433</v>
      </c>
      <c r="VZJ47" s="32" t="s">
        <v>92</v>
      </c>
      <c r="VZK47" s="8" t="s">
        <v>132</v>
      </c>
      <c r="VZL47" s="22" t="s">
        <v>46</v>
      </c>
      <c r="VZM47" s="8" t="s">
        <v>433</v>
      </c>
      <c r="VZN47" s="32" t="s">
        <v>92</v>
      </c>
      <c r="VZO47" s="8" t="s">
        <v>132</v>
      </c>
      <c r="VZP47" s="22" t="s">
        <v>46</v>
      </c>
      <c r="VZQ47" s="8" t="s">
        <v>433</v>
      </c>
      <c r="VZR47" s="32" t="s">
        <v>92</v>
      </c>
      <c r="VZS47" s="8" t="s">
        <v>132</v>
      </c>
      <c r="VZT47" s="22" t="s">
        <v>46</v>
      </c>
      <c r="VZU47" s="8" t="s">
        <v>433</v>
      </c>
      <c r="VZV47" s="32" t="s">
        <v>92</v>
      </c>
      <c r="VZW47" s="8" t="s">
        <v>132</v>
      </c>
      <c r="VZX47" s="22" t="s">
        <v>46</v>
      </c>
      <c r="VZY47" s="8" t="s">
        <v>433</v>
      </c>
      <c r="VZZ47" s="32" t="s">
        <v>92</v>
      </c>
      <c r="WAA47" s="8" t="s">
        <v>132</v>
      </c>
      <c r="WAB47" s="22" t="s">
        <v>46</v>
      </c>
      <c r="WAC47" s="8" t="s">
        <v>433</v>
      </c>
      <c r="WAD47" s="32" t="s">
        <v>92</v>
      </c>
      <c r="WAE47" s="8" t="s">
        <v>132</v>
      </c>
      <c r="WAF47" s="22" t="s">
        <v>46</v>
      </c>
      <c r="WAG47" s="8" t="s">
        <v>433</v>
      </c>
      <c r="WAH47" s="32" t="s">
        <v>92</v>
      </c>
      <c r="WAI47" s="8" t="s">
        <v>132</v>
      </c>
      <c r="WAJ47" s="22" t="s">
        <v>46</v>
      </c>
      <c r="WAK47" s="8" t="s">
        <v>433</v>
      </c>
      <c r="WAL47" s="32" t="s">
        <v>92</v>
      </c>
      <c r="WAM47" s="8" t="s">
        <v>132</v>
      </c>
      <c r="WAN47" s="22" t="s">
        <v>46</v>
      </c>
      <c r="WAO47" s="8" t="s">
        <v>433</v>
      </c>
      <c r="WAP47" s="32" t="s">
        <v>92</v>
      </c>
      <c r="WAQ47" s="8" t="s">
        <v>132</v>
      </c>
      <c r="WAR47" s="22" t="s">
        <v>46</v>
      </c>
      <c r="WAS47" s="8" t="s">
        <v>433</v>
      </c>
      <c r="WAT47" s="32" t="s">
        <v>92</v>
      </c>
      <c r="WAU47" s="8" t="s">
        <v>132</v>
      </c>
      <c r="WAV47" s="22" t="s">
        <v>46</v>
      </c>
      <c r="WAW47" s="8" t="s">
        <v>433</v>
      </c>
      <c r="WAX47" s="32" t="s">
        <v>92</v>
      </c>
      <c r="WAY47" s="8" t="s">
        <v>132</v>
      </c>
      <c r="WAZ47" s="22" t="s">
        <v>46</v>
      </c>
      <c r="WBA47" s="8" t="s">
        <v>433</v>
      </c>
      <c r="WBB47" s="32" t="s">
        <v>92</v>
      </c>
      <c r="WBC47" s="8" t="s">
        <v>132</v>
      </c>
      <c r="WBD47" s="22" t="s">
        <v>46</v>
      </c>
      <c r="WBE47" s="8" t="s">
        <v>433</v>
      </c>
      <c r="WBF47" s="32" t="s">
        <v>92</v>
      </c>
      <c r="WBG47" s="8" t="s">
        <v>132</v>
      </c>
      <c r="WBH47" s="22" t="s">
        <v>46</v>
      </c>
      <c r="WBI47" s="8" t="s">
        <v>433</v>
      </c>
      <c r="WBJ47" s="32" t="s">
        <v>92</v>
      </c>
      <c r="WBK47" s="8" t="s">
        <v>132</v>
      </c>
      <c r="WBL47" s="22" t="s">
        <v>46</v>
      </c>
      <c r="WBM47" s="8" t="s">
        <v>433</v>
      </c>
      <c r="WBN47" s="32" t="s">
        <v>92</v>
      </c>
      <c r="WBO47" s="8" t="s">
        <v>132</v>
      </c>
      <c r="WBP47" s="22" t="s">
        <v>46</v>
      </c>
      <c r="WBQ47" s="8" t="s">
        <v>433</v>
      </c>
      <c r="WBR47" s="32" t="s">
        <v>92</v>
      </c>
      <c r="WBS47" s="8" t="s">
        <v>132</v>
      </c>
      <c r="WBT47" s="22" t="s">
        <v>46</v>
      </c>
      <c r="WBU47" s="8" t="s">
        <v>433</v>
      </c>
      <c r="WBV47" s="32" t="s">
        <v>92</v>
      </c>
      <c r="WBW47" s="8" t="s">
        <v>132</v>
      </c>
      <c r="WBX47" s="22" t="s">
        <v>46</v>
      </c>
      <c r="WBY47" s="8" t="s">
        <v>433</v>
      </c>
      <c r="WBZ47" s="32" t="s">
        <v>92</v>
      </c>
      <c r="WCA47" s="8" t="s">
        <v>132</v>
      </c>
      <c r="WCB47" s="22" t="s">
        <v>46</v>
      </c>
      <c r="WCC47" s="8" t="s">
        <v>433</v>
      </c>
      <c r="WCD47" s="32" t="s">
        <v>92</v>
      </c>
      <c r="WCE47" s="8" t="s">
        <v>132</v>
      </c>
      <c r="WCF47" s="22" t="s">
        <v>46</v>
      </c>
      <c r="WCG47" s="8" t="s">
        <v>433</v>
      </c>
      <c r="WCH47" s="32" t="s">
        <v>92</v>
      </c>
      <c r="WCI47" s="8" t="s">
        <v>132</v>
      </c>
      <c r="WCJ47" s="22" t="s">
        <v>46</v>
      </c>
      <c r="WCK47" s="8" t="s">
        <v>433</v>
      </c>
      <c r="WCL47" s="32" t="s">
        <v>92</v>
      </c>
      <c r="WCM47" s="8" t="s">
        <v>132</v>
      </c>
      <c r="WCN47" s="22" t="s">
        <v>46</v>
      </c>
      <c r="WCO47" s="8" t="s">
        <v>433</v>
      </c>
      <c r="WCP47" s="32" t="s">
        <v>92</v>
      </c>
      <c r="WCQ47" s="8" t="s">
        <v>132</v>
      </c>
      <c r="WCR47" s="22" t="s">
        <v>46</v>
      </c>
      <c r="WCS47" s="8" t="s">
        <v>433</v>
      </c>
      <c r="WCT47" s="32" t="s">
        <v>92</v>
      </c>
      <c r="WCU47" s="8" t="s">
        <v>132</v>
      </c>
      <c r="WCV47" s="22" t="s">
        <v>46</v>
      </c>
      <c r="WCW47" s="8" t="s">
        <v>433</v>
      </c>
      <c r="WCX47" s="32" t="s">
        <v>92</v>
      </c>
      <c r="WCY47" s="8" t="s">
        <v>132</v>
      </c>
      <c r="WCZ47" s="22" t="s">
        <v>46</v>
      </c>
      <c r="WDA47" s="8" t="s">
        <v>433</v>
      </c>
      <c r="WDB47" s="32" t="s">
        <v>92</v>
      </c>
      <c r="WDC47" s="8" t="s">
        <v>132</v>
      </c>
      <c r="WDD47" s="22" t="s">
        <v>46</v>
      </c>
      <c r="WDE47" s="8" t="s">
        <v>433</v>
      </c>
      <c r="WDF47" s="32" t="s">
        <v>92</v>
      </c>
      <c r="WDG47" s="8" t="s">
        <v>132</v>
      </c>
      <c r="WDH47" s="22" t="s">
        <v>46</v>
      </c>
      <c r="WDI47" s="8" t="s">
        <v>433</v>
      </c>
      <c r="WDJ47" s="32" t="s">
        <v>92</v>
      </c>
      <c r="WDK47" s="8" t="s">
        <v>132</v>
      </c>
      <c r="WDL47" s="22" t="s">
        <v>46</v>
      </c>
      <c r="WDM47" s="8" t="s">
        <v>433</v>
      </c>
      <c r="WDN47" s="32" t="s">
        <v>92</v>
      </c>
      <c r="WDO47" s="8" t="s">
        <v>132</v>
      </c>
      <c r="WDP47" s="22" t="s">
        <v>46</v>
      </c>
      <c r="WDQ47" s="8" t="s">
        <v>433</v>
      </c>
      <c r="WDR47" s="32" t="s">
        <v>92</v>
      </c>
      <c r="WDS47" s="8" t="s">
        <v>132</v>
      </c>
      <c r="WDT47" s="22" t="s">
        <v>46</v>
      </c>
      <c r="WDU47" s="8" t="s">
        <v>433</v>
      </c>
      <c r="WDV47" s="32" t="s">
        <v>92</v>
      </c>
      <c r="WDW47" s="8" t="s">
        <v>132</v>
      </c>
      <c r="WDX47" s="22" t="s">
        <v>46</v>
      </c>
      <c r="WDY47" s="8" t="s">
        <v>433</v>
      </c>
      <c r="WDZ47" s="32" t="s">
        <v>92</v>
      </c>
      <c r="WEA47" s="8" t="s">
        <v>132</v>
      </c>
      <c r="WEB47" s="22" t="s">
        <v>46</v>
      </c>
      <c r="WEC47" s="8" t="s">
        <v>433</v>
      </c>
      <c r="WED47" s="32" t="s">
        <v>92</v>
      </c>
      <c r="WEE47" s="8" t="s">
        <v>132</v>
      </c>
      <c r="WEF47" s="22" t="s">
        <v>46</v>
      </c>
      <c r="WEG47" s="8" t="s">
        <v>433</v>
      </c>
      <c r="WEH47" s="32" t="s">
        <v>92</v>
      </c>
      <c r="WEI47" s="8" t="s">
        <v>132</v>
      </c>
      <c r="WEJ47" s="22" t="s">
        <v>46</v>
      </c>
      <c r="WEK47" s="8" t="s">
        <v>433</v>
      </c>
      <c r="WEL47" s="32" t="s">
        <v>92</v>
      </c>
      <c r="WEM47" s="8" t="s">
        <v>132</v>
      </c>
      <c r="WEN47" s="22" t="s">
        <v>46</v>
      </c>
      <c r="WEO47" s="8" t="s">
        <v>433</v>
      </c>
      <c r="WEP47" s="32" t="s">
        <v>92</v>
      </c>
      <c r="WEQ47" s="8" t="s">
        <v>132</v>
      </c>
      <c r="WER47" s="22" t="s">
        <v>46</v>
      </c>
      <c r="WES47" s="8" t="s">
        <v>433</v>
      </c>
      <c r="WET47" s="32" t="s">
        <v>92</v>
      </c>
      <c r="WEU47" s="8" t="s">
        <v>132</v>
      </c>
      <c r="WEV47" s="22" t="s">
        <v>46</v>
      </c>
      <c r="WEW47" s="8" t="s">
        <v>433</v>
      </c>
      <c r="WEX47" s="32" t="s">
        <v>92</v>
      </c>
      <c r="WEY47" s="8" t="s">
        <v>132</v>
      </c>
      <c r="WEZ47" s="22" t="s">
        <v>46</v>
      </c>
      <c r="WFA47" s="8" t="s">
        <v>433</v>
      </c>
      <c r="WFB47" s="32" t="s">
        <v>92</v>
      </c>
      <c r="WFC47" s="8" t="s">
        <v>132</v>
      </c>
      <c r="WFD47" s="22" t="s">
        <v>46</v>
      </c>
      <c r="WFE47" s="8" t="s">
        <v>433</v>
      </c>
      <c r="WFF47" s="32" t="s">
        <v>92</v>
      </c>
      <c r="WFG47" s="8" t="s">
        <v>132</v>
      </c>
      <c r="WFH47" s="22" t="s">
        <v>46</v>
      </c>
      <c r="WFI47" s="8" t="s">
        <v>433</v>
      </c>
      <c r="WFJ47" s="32" t="s">
        <v>92</v>
      </c>
      <c r="WFK47" s="8" t="s">
        <v>132</v>
      </c>
      <c r="WFL47" s="22" t="s">
        <v>46</v>
      </c>
      <c r="WFM47" s="8" t="s">
        <v>433</v>
      </c>
      <c r="WFN47" s="32" t="s">
        <v>92</v>
      </c>
      <c r="WFO47" s="8" t="s">
        <v>132</v>
      </c>
      <c r="WFP47" s="22" t="s">
        <v>46</v>
      </c>
      <c r="WFQ47" s="8" t="s">
        <v>433</v>
      </c>
      <c r="WFR47" s="32" t="s">
        <v>92</v>
      </c>
      <c r="WFS47" s="8" t="s">
        <v>132</v>
      </c>
      <c r="WFT47" s="22" t="s">
        <v>46</v>
      </c>
      <c r="WFU47" s="8" t="s">
        <v>433</v>
      </c>
      <c r="WFV47" s="32" t="s">
        <v>92</v>
      </c>
      <c r="WFW47" s="8" t="s">
        <v>132</v>
      </c>
      <c r="WFX47" s="22" t="s">
        <v>46</v>
      </c>
      <c r="WFY47" s="8" t="s">
        <v>433</v>
      </c>
      <c r="WFZ47" s="32" t="s">
        <v>92</v>
      </c>
      <c r="WGA47" s="8" t="s">
        <v>132</v>
      </c>
      <c r="WGB47" s="22" t="s">
        <v>46</v>
      </c>
      <c r="WGC47" s="8" t="s">
        <v>433</v>
      </c>
      <c r="WGD47" s="32" t="s">
        <v>92</v>
      </c>
      <c r="WGE47" s="8" t="s">
        <v>132</v>
      </c>
      <c r="WGF47" s="22" t="s">
        <v>46</v>
      </c>
      <c r="WGG47" s="8" t="s">
        <v>433</v>
      </c>
      <c r="WGH47" s="32" t="s">
        <v>92</v>
      </c>
      <c r="WGI47" s="8" t="s">
        <v>132</v>
      </c>
      <c r="WGJ47" s="22" t="s">
        <v>46</v>
      </c>
      <c r="WGK47" s="8" t="s">
        <v>433</v>
      </c>
      <c r="WGL47" s="32" t="s">
        <v>92</v>
      </c>
      <c r="WGM47" s="8" t="s">
        <v>132</v>
      </c>
      <c r="WGN47" s="22" t="s">
        <v>46</v>
      </c>
      <c r="WGO47" s="8" t="s">
        <v>433</v>
      </c>
      <c r="WGP47" s="32" t="s">
        <v>92</v>
      </c>
      <c r="WGQ47" s="8" t="s">
        <v>132</v>
      </c>
      <c r="WGR47" s="22" t="s">
        <v>46</v>
      </c>
      <c r="WGS47" s="8" t="s">
        <v>433</v>
      </c>
      <c r="WGT47" s="32" t="s">
        <v>92</v>
      </c>
      <c r="WGU47" s="8" t="s">
        <v>132</v>
      </c>
      <c r="WGV47" s="22" t="s">
        <v>46</v>
      </c>
      <c r="WGW47" s="8" t="s">
        <v>433</v>
      </c>
      <c r="WGX47" s="32" t="s">
        <v>92</v>
      </c>
      <c r="WGY47" s="8" t="s">
        <v>132</v>
      </c>
      <c r="WGZ47" s="22" t="s">
        <v>46</v>
      </c>
      <c r="WHA47" s="8" t="s">
        <v>433</v>
      </c>
      <c r="WHB47" s="32" t="s">
        <v>92</v>
      </c>
      <c r="WHC47" s="8" t="s">
        <v>132</v>
      </c>
      <c r="WHD47" s="22" t="s">
        <v>46</v>
      </c>
      <c r="WHE47" s="8" t="s">
        <v>433</v>
      </c>
      <c r="WHF47" s="32" t="s">
        <v>92</v>
      </c>
      <c r="WHG47" s="8" t="s">
        <v>132</v>
      </c>
      <c r="WHH47" s="22" t="s">
        <v>46</v>
      </c>
      <c r="WHI47" s="8" t="s">
        <v>433</v>
      </c>
      <c r="WHJ47" s="32" t="s">
        <v>92</v>
      </c>
      <c r="WHK47" s="8" t="s">
        <v>132</v>
      </c>
      <c r="WHL47" s="22" t="s">
        <v>46</v>
      </c>
      <c r="WHM47" s="8" t="s">
        <v>433</v>
      </c>
      <c r="WHN47" s="32" t="s">
        <v>92</v>
      </c>
      <c r="WHO47" s="8" t="s">
        <v>132</v>
      </c>
      <c r="WHP47" s="22" t="s">
        <v>46</v>
      </c>
      <c r="WHQ47" s="8" t="s">
        <v>433</v>
      </c>
      <c r="WHR47" s="32" t="s">
        <v>92</v>
      </c>
      <c r="WHS47" s="8" t="s">
        <v>132</v>
      </c>
      <c r="WHT47" s="22" t="s">
        <v>46</v>
      </c>
      <c r="WHU47" s="8" t="s">
        <v>433</v>
      </c>
      <c r="WHV47" s="32" t="s">
        <v>92</v>
      </c>
      <c r="WHW47" s="8" t="s">
        <v>132</v>
      </c>
      <c r="WHX47" s="22" t="s">
        <v>46</v>
      </c>
      <c r="WHY47" s="8" t="s">
        <v>433</v>
      </c>
      <c r="WHZ47" s="32" t="s">
        <v>92</v>
      </c>
      <c r="WIA47" s="8" t="s">
        <v>132</v>
      </c>
      <c r="WIB47" s="22" t="s">
        <v>46</v>
      </c>
      <c r="WIC47" s="8" t="s">
        <v>433</v>
      </c>
      <c r="WID47" s="32" t="s">
        <v>92</v>
      </c>
      <c r="WIE47" s="8" t="s">
        <v>132</v>
      </c>
      <c r="WIF47" s="22" t="s">
        <v>46</v>
      </c>
      <c r="WIG47" s="8" t="s">
        <v>433</v>
      </c>
      <c r="WIH47" s="32" t="s">
        <v>92</v>
      </c>
      <c r="WII47" s="8" t="s">
        <v>132</v>
      </c>
      <c r="WIJ47" s="22" t="s">
        <v>46</v>
      </c>
      <c r="WIK47" s="8" t="s">
        <v>433</v>
      </c>
      <c r="WIL47" s="32" t="s">
        <v>92</v>
      </c>
      <c r="WIM47" s="8" t="s">
        <v>132</v>
      </c>
      <c r="WIN47" s="22" t="s">
        <v>46</v>
      </c>
      <c r="WIO47" s="8" t="s">
        <v>433</v>
      </c>
      <c r="WIP47" s="32" t="s">
        <v>92</v>
      </c>
      <c r="WIQ47" s="8" t="s">
        <v>132</v>
      </c>
      <c r="WIR47" s="22" t="s">
        <v>46</v>
      </c>
      <c r="WIS47" s="8" t="s">
        <v>433</v>
      </c>
      <c r="WIT47" s="32" t="s">
        <v>92</v>
      </c>
      <c r="WIU47" s="8" t="s">
        <v>132</v>
      </c>
      <c r="WIV47" s="22" t="s">
        <v>46</v>
      </c>
      <c r="WIW47" s="8" t="s">
        <v>433</v>
      </c>
      <c r="WIX47" s="32" t="s">
        <v>92</v>
      </c>
      <c r="WIY47" s="8" t="s">
        <v>132</v>
      </c>
      <c r="WIZ47" s="22" t="s">
        <v>46</v>
      </c>
      <c r="WJA47" s="8" t="s">
        <v>433</v>
      </c>
      <c r="WJB47" s="32" t="s">
        <v>92</v>
      </c>
      <c r="WJC47" s="8" t="s">
        <v>132</v>
      </c>
      <c r="WJD47" s="22" t="s">
        <v>46</v>
      </c>
      <c r="WJE47" s="8" t="s">
        <v>433</v>
      </c>
      <c r="WJF47" s="32" t="s">
        <v>92</v>
      </c>
      <c r="WJG47" s="8" t="s">
        <v>132</v>
      </c>
      <c r="WJH47" s="22" t="s">
        <v>46</v>
      </c>
      <c r="WJI47" s="8" t="s">
        <v>433</v>
      </c>
      <c r="WJJ47" s="32" t="s">
        <v>92</v>
      </c>
      <c r="WJK47" s="8" t="s">
        <v>132</v>
      </c>
      <c r="WJL47" s="22" t="s">
        <v>46</v>
      </c>
      <c r="WJM47" s="8" t="s">
        <v>433</v>
      </c>
      <c r="WJN47" s="32" t="s">
        <v>92</v>
      </c>
      <c r="WJO47" s="8" t="s">
        <v>132</v>
      </c>
      <c r="WJP47" s="22" t="s">
        <v>46</v>
      </c>
      <c r="WJQ47" s="8" t="s">
        <v>433</v>
      </c>
      <c r="WJR47" s="32" t="s">
        <v>92</v>
      </c>
      <c r="WJS47" s="8" t="s">
        <v>132</v>
      </c>
      <c r="WJT47" s="22" t="s">
        <v>46</v>
      </c>
      <c r="WJU47" s="8" t="s">
        <v>433</v>
      </c>
      <c r="WJV47" s="32" t="s">
        <v>92</v>
      </c>
      <c r="WJW47" s="8" t="s">
        <v>132</v>
      </c>
      <c r="WJX47" s="22" t="s">
        <v>46</v>
      </c>
      <c r="WJY47" s="8" t="s">
        <v>433</v>
      </c>
      <c r="WJZ47" s="32" t="s">
        <v>92</v>
      </c>
      <c r="WKA47" s="8" t="s">
        <v>132</v>
      </c>
      <c r="WKB47" s="22" t="s">
        <v>46</v>
      </c>
      <c r="WKC47" s="8" t="s">
        <v>433</v>
      </c>
      <c r="WKD47" s="32" t="s">
        <v>92</v>
      </c>
      <c r="WKE47" s="8" t="s">
        <v>132</v>
      </c>
      <c r="WKF47" s="22" t="s">
        <v>46</v>
      </c>
      <c r="WKG47" s="8" t="s">
        <v>433</v>
      </c>
      <c r="WKH47" s="32" t="s">
        <v>92</v>
      </c>
      <c r="WKI47" s="8" t="s">
        <v>132</v>
      </c>
      <c r="WKJ47" s="22" t="s">
        <v>46</v>
      </c>
      <c r="WKK47" s="8" t="s">
        <v>433</v>
      </c>
      <c r="WKL47" s="32" t="s">
        <v>92</v>
      </c>
      <c r="WKM47" s="8" t="s">
        <v>132</v>
      </c>
      <c r="WKN47" s="22" t="s">
        <v>46</v>
      </c>
      <c r="WKO47" s="8" t="s">
        <v>433</v>
      </c>
      <c r="WKP47" s="32" t="s">
        <v>92</v>
      </c>
      <c r="WKQ47" s="8" t="s">
        <v>132</v>
      </c>
      <c r="WKR47" s="22" t="s">
        <v>46</v>
      </c>
      <c r="WKS47" s="8" t="s">
        <v>433</v>
      </c>
      <c r="WKT47" s="32" t="s">
        <v>92</v>
      </c>
      <c r="WKU47" s="8" t="s">
        <v>132</v>
      </c>
      <c r="WKV47" s="22" t="s">
        <v>46</v>
      </c>
      <c r="WKW47" s="8" t="s">
        <v>433</v>
      </c>
      <c r="WKX47" s="32" t="s">
        <v>92</v>
      </c>
      <c r="WKY47" s="8" t="s">
        <v>132</v>
      </c>
      <c r="WKZ47" s="22" t="s">
        <v>46</v>
      </c>
      <c r="WLA47" s="8" t="s">
        <v>433</v>
      </c>
      <c r="WLB47" s="32" t="s">
        <v>92</v>
      </c>
      <c r="WLC47" s="8" t="s">
        <v>132</v>
      </c>
      <c r="WLD47" s="22" t="s">
        <v>46</v>
      </c>
      <c r="WLE47" s="8" t="s">
        <v>433</v>
      </c>
      <c r="WLF47" s="32" t="s">
        <v>92</v>
      </c>
      <c r="WLG47" s="8" t="s">
        <v>132</v>
      </c>
      <c r="WLH47" s="22" t="s">
        <v>46</v>
      </c>
      <c r="WLI47" s="8" t="s">
        <v>433</v>
      </c>
      <c r="WLJ47" s="32" t="s">
        <v>92</v>
      </c>
      <c r="WLK47" s="8" t="s">
        <v>132</v>
      </c>
      <c r="WLL47" s="22" t="s">
        <v>46</v>
      </c>
      <c r="WLM47" s="8" t="s">
        <v>433</v>
      </c>
      <c r="WLN47" s="32" t="s">
        <v>92</v>
      </c>
      <c r="WLO47" s="8" t="s">
        <v>132</v>
      </c>
      <c r="WLP47" s="22" t="s">
        <v>46</v>
      </c>
      <c r="WLQ47" s="8" t="s">
        <v>433</v>
      </c>
      <c r="WLR47" s="32" t="s">
        <v>92</v>
      </c>
      <c r="WLS47" s="8" t="s">
        <v>132</v>
      </c>
      <c r="WLT47" s="22" t="s">
        <v>46</v>
      </c>
      <c r="WLU47" s="8" t="s">
        <v>433</v>
      </c>
      <c r="WLV47" s="32" t="s">
        <v>92</v>
      </c>
      <c r="WLW47" s="8" t="s">
        <v>132</v>
      </c>
      <c r="WLX47" s="22" t="s">
        <v>46</v>
      </c>
      <c r="WLY47" s="8" t="s">
        <v>433</v>
      </c>
      <c r="WLZ47" s="32" t="s">
        <v>92</v>
      </c>
      <c r="WMA47" s="8" t="s">
        <v>132</v>
      </c>
      <c r="WMB47" s="22" t="s">
        <v>46</v>
      </c>
      <c r="WMC47" s="8" t="s">
        <v>433</v>
      </c>
      <c r="WMD47" s="32" t="s">
        <v>92</v>
      </c>
      <c r="WME47" s="8" t="s">
        <v>132</v>
      </c>
      <c r="WMF47" s="22" t="s">
        <v>46</v>
      </c>
      <c r="WMG47" s="8" t="s">
        <v>433</v>
      </c>
      <c r="WMH47" s="32" t="s">
        <v>92</v>
      </c>
      <c r="WMI47" s="8" t="s">
        <v>132</v>
      </c>
      <c r="WMJ47" s="22" t="s">
        <v>46</v>
      </c>
      <c r="WMK47" s="8" t="s">
        <v>433</v>
      </c>
      <c r="WML47" s="32" t="s">
        <v>92</v>
      </c>
      <c r="WMM47" s="8" t="s">
        <v>132</v>
      </c>
      <c r="WMN47" s="22" t="s">
        <v>46</v>
      </c>
      <c r="WMO47" s="8" t="s">
        <v>433</v>
      </c>
      <c r="WMP47" s="32" t="s">
        <v>92</v>
      </c>
      <c r="WMQ47" s="8" t="s">
        <v>132</v>
      </c>
      <c r="WMR47" s="22" t="s">
        <v>46</v>
      </c>
      <c r="WMS47" s="8" t="s">
        <v>433</v>
      </c>
      <c r="WMT47" s="32" t="s">
        <v>92</v>
      </c>
      <c r="WMU47" s="8" t="s">
        <v>132</v>
      </c>
      <c r="WMV47" s="22" t="s">
        <v>46</v>
      </c>
      <c r="WMW47" s="8" t="s">
        <v>433</v>
      </c>
      <c r="WMX47" s="32" t="s">
        <v>92</v>
      </c>
      <c r="WMY47" s="8" t="s">
        <v>132</v>
      </c>
      <c r="WMZ47" s="22" t="s">
        <v>46</v>
      </c>
      <c r="WNA47" s="8" t="s">
        <v>433</v>
      </c>
      <c r="WNB47" s="32" t="s">
        <v>92</v>
      </c>
      <c r="WNC47" s="8" t="s">
        <v>132</v>
      </c>
      <c r="WND47" s="22" t="s">
        <v>46</v>
      </c>
      <c r="WNE47" s="8" t="s">
        <v>433</v>
      </c>
      <c r="WNF47" s="32" t="s">
        <v>92</v>
      </c>
      <c r="WNG47" s="8" t="s">
        <v>132</v>
      </c>
      <c r="WNH47" s="22" t="s">
        <v>46</v>
      </c>
      <c r="WNI47" s="8" t="s">
        <v>433</v>
      </c>
      <c r="WNJ47" s="32" t="s">
        <v>92</v>
      </c>
      <c r="WNK47" s="8" t="s">
        <v>132</v>
      </c>
      <c r="WNL47" s="22" t="s">
        <v>46</v>
      </c>
      <c r="WNM47" s="8" t="s">
        <v>433</v>
      </c>
      <c r="WNN47" s="32" t="s">
        <v>92</v>
      </c>
      <c r="WNO47" s="8" t="s">
        <v>132</v>
      </c>
      <c r="WNP47" s="22" t="s">
        <v>46</v>
      </c>
      <c r="WNQ47" s="8" t="s">
        <v>433</v>
      </c>
      <c r="WNR47" s="32" t="s">
        <v>92</v>
      </c>
      <c r="WNS47" s="8" t="s">
        <v>132</v>
      </c>
      <c r="WNT47" s="22" t="s">
        <v>46</v>
      </c>
      <c r="WNU47" s="8" t="s">
        <v>433</v>
      </c>
      <c r="WNV47" s="32" t="s">
        <v>92</v>
      </c>
      <c r="WNW47" s="8" t="s">
        <v>132</v>
      </c>
      <c r="WNX47" s="22" t="s">
        <v>46</v>
      </c>
      <c r="WNY47" s="8" t="s">
        <v>433</v>
      </c>
      <c r="WNZ47" s="32" t="s">
        <v>92</v>
      </c>
      <c r="WOA47" s="8" t="s">
        <v>132</v>
      </c>
      <c r="WOB47" s="22" t="s">
        <v>46</v>
      </c>
      <c r="WOC47" s="8" t="s">
        <v>433</v>
      </c>
      <c r="WOD47" s="32" t="s">
        <v>92</v>
      </c>
      <c r="WOE47" s="8" t="s">
        <v>132</v>
      </c>
      <c r="WOF47" s="22" t="s">
        <v>46</v>
      </c>
      <c r="WOG47" s="8" t="s">
        <v>433</v>
      </c>
      <c r="WOH47" s="32" t="s">
        <v>92</v>
      </c>
      <c r="WOI47" s="8" t="s">
        <v>132</v>
      </c>
      <c r="WOJ47" s="22" t="s">
        <v>46</v>
      </c>
      <c r="WOK47" s="8" t="s">
        <v>433</v>
      </c>
      <c r="WOL47" s="32" t="s">
        <v>92</v>
      </c>
      <c r="WOM47" s="8" t="s">
        <v>132</v>
      </c>
      <c r="WON47" s="22" t="s">
        <v>46</v>
      </c>
      <c r="WOO47" s="8" t="s">
        <v>433</v>
      </c>
      <c r="WOP47" s="32" t="s">
        <v>92</v>
      </c>
      <c r="WOQ47" s="8" t="s">
        <v>132</v>
      </c>
      <c r="WOR47" s="22" t="s">
        <v>46</v>
      </c>
      <c r="WOS47" s="8" t="s">
        <v>433</v>
      </c>
      <c r="WOT47" s="32" t="s">
        <v>92</v>
      </c>
      <c r="WOU47" s="8" t="s">
        <v>132</v>
      </c>
      <c r="WOV47" s="22" t="s">
        <v>46</v>
      </c>
      <c r="WOW47" s="8" t="s">
        <v>433</v>
      </c>
      <c r="WOX47" s="32" t="s">
        <v>92</v>
      </c>
      <c r="WOY47" s="8" t="s">
        <v>132</v>
      </c>
      <c r="WOZ47" s="22" t="s">
        <v>46</v>
      </c>
      <c r="WPA47" s="8" t="s">
        <v>433</v>
      </c>
      <c r="WPB47" s="32" t="s">
        <v>92</v>
      </c>
      <c r="WPC47" s="8" t="s">
        <v>132</v>
      </c>
      <c r="WPD47" s="22" t="s">
        <v>46</v>
      </c>
      <c r="WPE47" s="8" t="s">
        <v>433</v>
      </c>
      <c r="WPF47" s="32" t="s">
        <v>92</v>
      </c>
      <c r="WPG47" s="8" t="s">
        <v>132</v>
      </c>
      <c r="WPH47" s="22" t="s">
        <v>46</v>
      </c>
      <c r="WPI47" s="8" t="s">
        <v>433</v>
      </c>
      <c r="WPJ47" s="32" t="s">
        <v>92</v>
      </c>
      <c r="WPK47" s="8" t="s">
        <v>132</v>
      </c>
      <c r="WPL47" s="22" t="s">
        <v>46</v>
      </c>
      <c r="WPM47" s="8" t="s">
        <v>433</v>
      </c>
      <c r="WPN47" s="32" t="s">
        <v>92</v>
      </c>
      <c r="WPO47" s="8" t="s">
        <v>132</v>
      </c>
      <c r="WPP47" s="22" t="s">
        <v>46</v>
      </c>
      <c r="WPQ47" s="8" t="s">
        <v>433</v>
      </c>
      <c r="WPR47" s="32" t="s">
        <v>92</v>
      </c>
      <c r="WPS47" s="8" t="s">
        <v>132</v>
      </c>
      <c r="WPT47" s="22" t="s">
        <v>46</v>
      </c>
      <c r="WPU47" s="8" t="s">
        <v>433</v>
      </c>
      <c r="WPV47" s="32" t="s">
        <v>92</v>
      </c>
      <c r="WPW47" s="8" t="s">
        <v>132</v>
      </c>
      <c r="WPX47" s="22" t="s">
        <v>46</v>
      </c>
      <c r="WPY47" s="8" t="s">
        <v>433</v>
      </c>
      <c r="WPZ47" s="32" t="s">
        <v>92</v>
      </c>
      <c r="WQA47" s="8" t="s">
        <v>132</v>
      </c>
      <c r="WQB47" s="22" t="s">
        <v>46</v>
      </c>
      <c r="WQC47" s="8" t="s">
        <v>433</v>
      </c>
      <c r="WQD47" s="32" t="s">
        <v>92</v>
      </c>
      <c r="WQE47" s="8" t="s">
        <v>132</v>
      </c>
      <c r="WQF47" s="22" t="s">
        <v>46</v>
      </c>
      <c r="WQG47" s="8" t="s">
        <v>433</v>
      </c>
      <c r="WQH47" s="32" t="s">
        <v>92</v>
      </c>
      <c r="WQI47" s="8" t="s">
        <v>132</v>
      </c>
      <c r="WQJ47" s="22" t="s">
        <v>46</v>
      </c>
      <c r="WQK47" s="8" t="s">
        <v>433</v>
      </c>
      <c r="WQL47" s="32" t="s">
        <v>92</v>
      </c>
      <c r="WQM47" s="8" t="s">
        <v>132</v>
      </c>
      <c r="WQN47" s="22" t="s">
        <v>46</v>
      </c>
      <c r="WQO47" s="8" t="s">
        <v>433</v>
      </c>
      <c r="WQP47" s="32" t="s">
        <v>92</v>
      </c>
      <c r="WQQ47" s="8" t="s">
        <v>132</v>
      </c>
      <c r="WQR47" s="22" t="s">
        <v>46</v>
      </c>
      <c r="WQS47" s="8" t="s">
        <v>433</v>
      </c>
      <c r="WQT47" s="32" t="s">
        <v>92</v>
      </c>
      <c r="WQU47" s="8" t="s">
        <v>132</v>
      </c>
      <c r="WQV47" s="22" t="s">
        <v>46</v>
      </c>
      <c r="WQW47" s="8" t="s">
        <v>433</v>
      </c>
      <c r="WQX47" s="32" t="s">
        <v>92</v>
      </c>
      <c r="WQY47" s="8" t="s">
        <v>132</v>
      </c>
      <c r="WQZ47" s="22" t="s">
        <v>46</v>
      </c>
      <c r="WRA47" s="8" t="s">
        <v>433</v>
      </c>
      <c r="WRB47" s="32" t="s">
        <v>92</v>
      </c>
      <c r="WRC47" s="8" t="s">
        <v>132</v>
      </c>
      <c r="WRD47" s="22" t="s">
        <v>46</v>
      </c>
      <c r="WRE47" s="8" t="s">
        <v>433</v>
      </c>
      <c r="WRF47" s="32" t="s">
        <v>92</v>
      </c>
      <c r="WRG47" s="8" t="s">
        <v>132</v>
      </c>
      <c r="WRH47" s="22" t="s">
        <v>46</v>
      </c>
      <c r="WRI47" s="8" t="s">
        <v>433</v>
      </c>
      <c r="WRJ47" s="32" t="s">
        <v>92</v>
      </c>
      <c r="WRK47" s="8" t="s">
        <v>132</v>
      </c>
      <c r="WRL47" s="22" t="s">
        <v>46</v>
      </c>
      <c r="WRM47" s="8" t="s">
        <v>433</v>
      </c>
      <c r="WRN47" s="32" t="s">
        <v>92</v>
      </c>
      <c r="WRO47" s="8" t="s">
        <v>132</v>
      </c>
      <c r="WRP47" s="22" t="s">
        <v>46</v>
      </c>
      <c r="WRQ47" s="8" t="s">
        <v>433</v>
      </c>
      <c r="WRR47" s="32" t="s">
        <v>92</v>
      </c>
      <c r="WRS47" s="8" t="s">
        <v>132</v>
      </c>
      <c r="WRT47" s="22" t="s">
        <v>46</v>
      </c>
      <c r="WRU47" s="8" t="s">
        <v>433</v>
      </c>
      <c r="WRV47" s="32" t="s">
        <v>92</v>
      </c>
      <c r="WRW47" s="8" t="s">
        <v>132</v>
      </c>
      <c r="WRX47" s="22" t="s">
        <v>46</v>
      </c>
      <c r="WRY47" s="8" t="s">
        <v>433</v>
      </c>
      <c r="WRZ47" s="32" t="s">
        <v>92</v>
      </c>
      <c r="WSA47" s="8" t="s">
        <v>132</v>
      </c>
      <c r="WSB47" s="22" t="s">
        <v>46</v>
      </c>
      <c r="WSC47" s="8" t="s">
        <v>433</v>
      </c>
      <c r="WSD47" s="32" t="s">
        <v>92</v>
      </c>
      <c r="WSE47" s="8" t="s">
        <v>132</v>
      </c>
      <c r="WSF47" s="22" t="s">
        <v>46</v>
      </c>
      <c r="WSG47" s="8" t="s">
        <v>433</v>
      </c>
      <c r="WSH47" s="32" t="s">
        <v>92</v>
      </c>
      <c r="WSI47" s="8" t="s">
        <v>132</v>
      </c>
      <c r="WSJ47" s="22" t="s">
        <v>46</v>
      </c>
      <c r="WSK47" s="8" t="s">
        <v>433</v>
      </c>
      <c r="WSL47" s="32" t="s">
        <v>92</v>
      </c>
      <c r="WSM47" s="8" t="s">
        <v>132</v>
      </c>
      <c r="WSN47" s="22" t="s">
        <v>46</v>
      </c>
      <c r="WSO47" s="8" t="s">
        <v>433</v>
      </c>
      <c r="WSP47" s="32" t="s">
        <v>92</v>
      </c>
      <c r="WSQ47" s="8" t="s">
        <v>132</v>
      </c>
      <c r="WSR47" s="22" t="s">
        <v>46</v>
      </c>
      <c r="WSS47" s="8" t="s">
        <v>433</v>
      </c>
      <c r="WST47" s="32" t="s">
        <v>92</v>
      </c>
      <c r="WSU47" s="8" t="s">
        <v>132</v>
      </c>
      <c r="WSV47" s="22" t="s">
        <v>46</v>
      </c>
      <c r="WSW47" s="8" t="s">
        <v>433</v>
      </c>
      <c r="WSX47" s="32" t="s">
        <v>92</v>
      </c>
      <c r="WSY47" s="8" t="s">
        <v>132</v>
      </c>
      <c r="WSZ47" s="22" t="s">
        <v>46</v>
      </c>
      <c r="WTA47" s="8" t="s">
        <v>433</v>
      </c>
      <c r="WTB47" s="32" t="s">
        <v>92</v>
      </c>
      <c r="WTC47" s="8" t="s">
        <v>132</v>
      </c>
      <c r="WTD47" s="22" t="s">
        <v>46</v>
      </c>
      <c r="WTE47" s="8" t="s">
        <v>433</v>
      </c>
      <c r="WTF47" s="32" t="s">
        <v>92</v>
      </c>
      <c r="WTG47" s="8" t="s">
        <v>132</v>
      </c>
      <c r="WTH47" s="22" t="s">
        <v>46</v>
      </c>
      <c r="WTI47" s="8" t="s">
        <v>433</v>
      </c>
      <c r="WTJ47" s="32" t="s">
        <v>92</v>
      </c>
      <c r="WTK47" s="8" t="s">
        <v>132</v>
      </c>
      <c r="WTL47" s="22" t="s">
        <v>46</v>
      </c>
      <c r="WTM47" s="8" t="s">
        <v>433</v>
      </c>
      <c r="WTN47" s="32" t="s">
        <v>92</v>
      </c>
      <c r="WTO47" s="8" t="s">
        <v>132</v>
      </c>
      <c r="WTP47" s="22" t="s">
        <v>46</v>
      </c>
      <c r="WTQ47" s="8" t="s">
        <v>433</v>
      </c>
      <c r="WTR47" s="32" t="s">
        <v>92</v>
      </c>
      <c r="WTS47" s="8" t="s">
        <v>132</v>
      </c>
      <c r="WTT47" s="22" t="s">
        <v>46</v>
      </c>
      <c r="WTU47" s="8" t="s">
        <v>433</v>
      </c>
      <c r="WTV47" s="32" t="s">
        <v>92</v>
      </c>
      <c r="WTW47" s="8" t="s">
        <v>132</v>
      </c>
      <c r="WTX47" s="22" t="s">
        <v>46</v>
      </c>
      <c r="WTY47" s="8" t="s">
        <v>433</v>
      </c>
      <c r="WTZ47" s="32" t="s">
        <v>92</v>
      </c>
      <c r="WUA47" s="8" t="s">
        <v>132</v>
      </c>
      <c r="WUB47" s="22" t="s">
        <v>46</v>
      </c>
      <c r="WUC47" s="8" t="s">
        <v>433</v>
      </c>
      <c r="WUD47" s="32" t="s">
        <v>92</v>
      </c>
      <c r="WUE47" s="8" t="s">
        <v>132</v>
      </c>
      <c r="WUF47" s="22" t="s">
        <v>46</v>
      </c>
      <c r="WUG47" s="8" t="s">
        <v>433</v>
      </c>
      <c r="WUH47" s="32" t="s">
        <v>92</v>
      </c>
      <c r="WUI47" s="8" t="s">
        <v>132</v>
      </c>
      <c r="WUJ47" s="22" t="s">
        <v>46</v>
      </c>
      <c r="WUK47" s="8" t="s">
        <v>433</v>
      </c>
      <c r="WUL47" s="32" t="s">
        <v>92</v>
      </c>
      <c r="WUM47" s="8" t="s">
        <v>132</v>
      </c>
      <c r="WUN47" s="22" t="s">
        <v>46</v>
      </c>
      <c r="WUO47" s="8" t="s">
        <v>433</v>
      </c>
      <c r="WUP47" s="32" t="s">
        <v>92</v>
      </c>
      <c r="WUQ47" s="8" t="s">
        <v>132</v>
      </c>
      <c r="WUR47" s="22" t="s">
        <v>46</v>
      </c>
      <c r="WUS47" s="8" t="s">
        <v>433</v>
      </c>
      <c r="WUT47" s="32" t="s">
        <v>92</v>
      </c>
      <c r="WUU47" s="8" t="s">
        <v>132</v>
      </c>
      <c r="WUV47" s="22" t="s">
        <v>46</v>
      </c>
      <c r="WUW47" s="8" t="s">
        <v>433</v>
      </c>
      <c r="WUX47" s="32" t="s">
        <v>92</v>
      </c>
      <c r="WUY47" s="8" t="s">
        <v>132</v>
      </c>
      <c r="WUZ47" s="22" t="s">
        <v>46</v>
      </c>
      <c r="WVA47" s="8" t="s">
        <v>433</v>
      </c>
      <c r="WVB47" s="32" t="s">
        <v>92</v>
      </c>
      <c r="WVC47" s="8" t="s">
        <v>132</v>
      </c>
      <c r="WVD47" s="22" t="s">
        <v>46</v>
      </c>
      <c r="WVE47" s="8" t="s">
        <v>433</v>
      </c>
      <c r="WVF47" s="32" t="s">
        <v>92</v>
      </c>
      <c r="WVG47" s="8" t="s">
        <v>132</v>
      </c>
      <c r="WVH47" s="22" t="s">
        <v>46</v>
      </c>
      <c r="WVI47" s="8" t="s">
        <v>433</v>
      </c>
      <c r="WVJ47" s="32" t="s">
        <v>92</v>
      </c>
      <c r="WVK47" s="8" t="s">
        <v>132</v>
      </c>
      <c r="WVL47" s="22" t="s">
        <v>46</v>
      </c>
      <c r="WVM47" s="8" t="s">
        <v>433</v>
      </c>
      <c r="WVN47" s="32" t="s">
        <v>92</v>
      </c>
      <c r="WVO47" s="8" t="s">
        <v>132</v>
      </c>
      <c r="WVP47" s="22" t="s">
        <v>46</v>
      </c>
      <c r="WVQ47" s="8" t="s">
        <v>433</v>
      </c>
      <c r="WVR47" s="32" t="s">
        <v>92</v>
      </c>
      <c r="WVS47" s="8" t="s">
        <v>132</v>
      </c>
      <c r="WVT47" s="22" t="s">
        <v>46</v>
      </c>
      <c r="WVU47" s="8" t="s">
        <v>433</v>
      </c>
      <c r="WVV47" s="32" t="s">
        <v>92</v>
      </c>
      <c r="WVW47" s="8" t="s">
        <v>132</v>
      </c>
      <c r="WVX47" s="22" t="s">
        <v>46</v>
      </c>
      <c r="WVY47" s="8" t="s">
        <v>433</v>
      </c>
      <c r="WVZ47" s="32" t="s">
        <v>92</v>
      </c>
      <c r="WWA47" s="8" t="s">
        <v>132</v>
      </c>
      <c r="WWB47" s="22" t="s">
        <v>46</v>
      </c>
      <c r="WWC47" s="8" t="s">
        <v>433</v>
      </c>
      <c r="WWD47" s="32" t="s">
        <v>92</v>
      </c>
      <c r="WWE47" s="8" t="s">
        <v>132</v>
      </c>
      <c r="WWF47" s="22" t="s">
        <v>46</v>
      </c>
      <c r="WWG47" s="8" t="s">
        <v>433</v>
      </c>
      <c r="WWH47" s="32" t="s">
        <v>92</v>
      </c>
      <c r="WWI47" s="8" t="s">
        <v>132</v>
      </c>
      <c r="WWJ47" s="22" t="s">
        <v>46</v>
      </c>
      <c r="WWK47" s="8" t="s">
        <v>433</v>
      </c>
      <c r="WWL47" s="32" t="s">
        <v>92</v>
      </c>
      <c r="WWM47" s="8" t="s">
        <v>132</v>
      </c>
      <c r="WWN47" s="22" t="s">
        <v>46</v>
      </c>
      <c r="WWO47" s="8" t="s">
        <v>433</v>
      </c>
      <c r="WWP47" s="32" t="s">
        <v>92</v>
      </c>
      <c r="WWQ47" s="8" t="s">
        <v>132</v>
      </c>
      <c r="WWR47" s="22" t="s">
        <v>46</v>
      </c>
      <c r="WWS47" s="8" t="s">
        <v>433</v>
      </c>
      <c r="WWT47" s="32" t="s">
        <v>92</v>
      </c>
      <c r="WWU47" s="8" t="s">
        <v>132</v>
      </c>
      <c r="WWV47" s="22" t="s">
        <v>46</v>
      </c>
      <c r="WWW47" s="8" t="s">
        <v>433</v>
      </c>
      <c r="WWX47" s="32" t="s">
        <v>92</v>
      </c>
      <c r="WWY47" s="8" t="s">
        <v>132</v>
      </c>
      <c r="WWZ47" s="22" t="s">
        <v>46</v>
      </c>
      <c r="WXA47" s="8" t="s">
        <v>433</v>
      </c>
      <c r="WXB47" s="32" t="s">
        <v>92</v>
      </c>
      <c r="WXC47" s="8" t="s">
        <v>132</v>
      </c>
      <c r="WXD47" s="22" t="s">
        <v>46</v>
      </c>
      <c r="WXE47" s="8" t="s">
        <v>433</v>
      </c>
      <c r="WXF47" s="32" t="s">
        <v>92</v>
      </c>
      <c r="WXG47" s="8" t="s">
        <v>132</v>
      </c>
      <c r="WXH47" s="22" t="s">
        <v>46</v>
      </c>
      <c r="WXI47" s="8" t="s">
        <v>433</v>
      </c>
      <c r="WXJ47" s="32" t="s">
        <v>92</v>
      </c>
      <c r="WXK47" s="8" t="s">
        <v>132</v>
      </c>
      <c r="WXL47" s="22" t="s">
        <v>46</v>
      </c>
      <c r="WXM47" s="8" t="s">
        <v>433</v>
      </c>
      <c r="WXN47" s="32" t="s">
        <v>92</v>
      </c>
      <c r="WXO47" s="8" t="s">
        <v>132</v>
      </c>
      <c r="WXP47" s="22" t="s">
        <v>46</v>
      </c>
      <c r="WXQ47" s="8" t="s">
        <v>433</v>
      </c>
      <c r="WXR47" s="32" t="s">
        <v>92</v>
      </c>
      <c r="WXS47" s="8" t="s">
        <v>132</v>
      </c>
      <c r="WXT47" s="22" t="s">
        <v>46</v>
      </c>
      <c r="WXU47" s="8" t="s">
        <v>433</v>
      </c>
      <c r="WXV47" s="32" t="s">
        <v>92</v>
      </c>
      <c r="WXW47" s="8" t="s">
        <v>132</v>
      </c>
      <c r="WXX47" s="22" t="s">
        <v>46</v>
      </c>
      <c r="WXY47" s="8" t="s">
        <v>433</v>
      </c>
      <c r="WXZ47" s="32" t="s">
        <v>92</v>
      </c>
      <c r="WYA47" s="8" t="s">
        <v>132</v>
      </c>
      <c r="WYB47" s="22" t="s">
        <v>46</v>
      </c>
      <c r="WYC47" s="8" t="s">
        <v>433</v>
      </c>
      <c r="WYD47" s="32" t="s">
        <v>92</v>
      </c>
      <c r="WYE47" s="8" t="s">
        <v>132</v>
      </c>
      <c r="WYF47" s="22" t="s">
        <v>46</v>
      </c>
      <c r="WYG47" s="8" t="s">
        <v>433</v>
      </c>
      <c r="WYH47" s="32" t="s">
        <v>92</v>
      </c>
      <c r="WYI47" s="8" t="s">
        <v>132</v>
      </c>
      <c r="WYJ47" s="22" t="s">
        <v>46</v>
      </c>
      <c r="WYK47" s="8" t="s">
        <v>433</v>
      </c>
      <c r="WYL47" s="32" t="s">
        <v>92</v>
      </c>
      <c r="WYM47" s="8" t="s">
        <v>132</v>
      </c>
      <c r="WYN47" s="22" t="s">
        <v>46</v>
      </c>
      <c r="WYO47" s="8" t="s">
        <v>433</v>
      </c>
      <c r="WYP47" s="32" t="s">
        <v>92</v>
      </c>
      <c r="WYQ47" s="8" t="s">
        <v>132</v>
      </c>
      <c r="WYR47" s="22" t="s">
        <v>46</v>
      </c>
      <c r="WYS47" s="8" t="s">
        <v>433</v>
      </c>
      <c r="WYT47" s="32" t="s">
        <v>92</v>
      </c>
      <c r="WYU47" s="8" t="s">
        <v>132</v>
      </c>
      <c r="WYV47" s="22" t="s">
        <v>46</v>
      </c>
      <c r="WYW47" s="8" t="s">
        <v>433</v>
      </c>
      <c r="WYX47" s="32" t="s">
        <v>92</v>
      </c>
      <c r="WYY47" s="8" t="s">
        <v>132</v>
      </c>
      <c r="WYZ47" s="22" t="s">
        <v>46</v>
      </c>
      <c r="WZA47" s="8" t="s">
        <v>433</v>
      </c>
      <c r="WZB47" s="32" t="s">
        <v>92</v>
      </c>
      <c r="WZC47" s="8" t="s">
        <v>132</v>
      </c>
      <c r="WZD47" s="22" t="s">
        <v>46</v>
      </c>
      <c r="WZE47" s="8" t="s">
        <v>433</v>
      </c>
      <c r="WZF47" s="32" t="s">
        <v>92</v>
      </c>
      <c r="WZG47" s="8" t="s">
        <v>132</v>
      </c>
      <c r="WZH47" s="22" t="s">
        <v>46</v>
      </c>
      <c r="WZI47" s="8" t="s">
        <v>433</v>
      </c>
      <c r="WZJ47" s="32" t="s">
        <v>92</v>
      </c>
      <c r="WZK47" s="8" t="s">
        <v>132</v>
      </c>
      <c r="WZL47" s="22" t="s">
        <v>46</v>
      </c>
      <c r="WZM47" s="8" t="s">
        <v>433</v>
      </c>
      <c r="WZN47" s="32" t="s">
        <v>92</v>
      </c>
      <c r="WZO47" s="8" t="s">
        <v>132</v>
      </c>
      <c r="WZP47" s="22" t="s">
        <v>46</v>
      </c>
      <c r="WZQ47" s="8" t="s">
        <v>433</v>
      </c>
      <c r="WZR47" s="32" t="s">
        <v>92</v>
      </c>
      <c r="WZS47" s="8" t="s">
        <v>132</v>
      </c>
      <c r="WZT47" s="22" t="s">
        <v>46</v>
      </c>
      <c r="WZU47" s="8" t="s">
        <v>433</v>
      </c>
      <c r="WZV47" s="32" t="s">
        <v>92</v>
      </c>
      <c r="WZW47" s="8" t="s">
        <v>132</v>
      </c>
      <c r="WZX47" s="22" t="s">
        <v>46</v>
      </c>
      <c r="WZY47" s="8" t="s">
        <v>433</v>
      </c>
      <c r="WZZ47" s="32" t="s">
        <v>92</v>
      </c>
      <c r="XAA47" s="8" t="s">
        <v>132</v>
      </c>
      <c r="XAB47" s="22" t="s">
        <v>46</v>
      </c>
      <c r="XAC47" s="8" t="s">
        <v>433</v>
      </c>
      <c r="XAD47" s="32" t="s">
        <v>92</v>
      </c>
      <c r="XAE47" s="8" t="s">
        <v>132</v>
      </c>
      <c r="XAF47" s="22" t="s">
        <v>46</v>
      </c>
      <c r="XAG47" s="8" t="s">
        <v>433</v>
      </c>
      <c r="XAH47" s="32" t="s">
        <v>92</v>
      </c>
      <c r="XAI47" s="8" t="s">
        <v>132</v>
      </c>
      <c r="XAJ47" s="22" t="s">
        <v>46</v>
      </c>
      <c r="XAK47" s="8" t="s">
        <v>433</v>
      </c>
      <c r="XAL47" s="32" t="s">
        <v>92</v>
      </c>
      <c r="XAM47" s="8" t="s">
        <v>132</v>
      </c>
      <c r="XAN47" s="22" t="s">
        <v>46</v>
      </c>
      <c r="XAO47" s="8" t="s">
        <v>433</v>
      </c>
      <c r="XAP47" s="32" t="s">
        <v>92</v>
      </c>
      <c r="XAQ47" s="8" t="s">
        <v>132</v>
      </c>
      <c r="XAR47" s="22" t="s">
        <v>46</v>
      </c>
      <c r="XAS47" s="8" t="s">
        <v>433</v>
      </c>
      <c r="XAT47" s="32" t="s">
        <v>92</v>
      </c>
      <c r="XAU47" s="8" t="s">
        <v>132</v>
      </c>
      <c r="XAV47" s="22" t="s">
        <v>46</v>
      </c>
      <c r="XAW47" s="8" t="s">
        <v>433</v>
      </c>
      <c r="XAX47" s="32" t="s">
        <v>92</v>
      </c>
      <c r="XAY47" s="8" t="s">
        <v>132</v>
      </c>
      <c r="XAZ47" s="22" t="s">
        <v>46</v>
      </c>
      <c r="XBA47" s="8" t="s">
        <v>433</v>
      </c>
      <c r="XBB47" s="32" t="s">
        <v>92</v>
      </c>
      <c r="XBC47" s="8" t="s">
        <v>132</v>
      </c>
      <c r="XBD47" s="22" t="s">
        <v>46</v>
      </c>
      <c r="XBE47" s="8" t="s">
        <v>433</v>
      </c>
      <c r="XBF47" s="32" t="s">
        <v>92</v>
      </c>
      <c r="XBG47" s="8" t="s">
        <v>132</v>
      </c>
      <c r="XBH47" s="22" t="s">
        <v>46</v>
      </c>
      <c r="XBI47" s="8" t="s">
        <v>433</v>
      </c>
      <c r="XBJ47" s="32" t="s">
        <v>92</v>
      </c>
      <c r="XBK47" s="8" t="s">
        <v>132</v>
      </c>
      <c r="XBL47" s="22" t="s">
        <v>46</v>
      </c>
      <c r="XBM47" s="8" t="s">
        <v>433</v>
      </c>
      <c r="XBN47" s="32" t="s">
        <v>92</v>
      </c>
      <c r="XBO47" s="8" t="s">
        <v>132</v>
      </c>
      <c r="XBP47" s="22" t="s">
        <v>46</v>
      </c>
      <c r="XBQ47" s="8" t="s">
        <v>433</v>
      </c>
      <c r="XBR47" s="32" t="s">
        <v>92</v>
      </c>
      <c r="XBS47" s="8" t="s">
        <v>132</v>
      </c>
      <c r="XBT47" s="22" t="s">
        <v>46</v>
      </c>
      <c r="XBU47" s="8" t="s">
        <v>433</v>
      </c>
      <c r="XBV47" s="32" t="s">
        <v>92</v>
      </c>
      <c r="XBW47" s="8" t="s">
        <v>132</v>
      </c>
      <c r="XBX47" s="22" t="s">
        <v>46</v>
      </c>
      <c r="XBY47" s="8" t="s">
        <v>433</v>
      </c>
      <c r="XBZ47" s="32" t="s">
        <v>92</v>
      </c>
      <c r="XCA47" s="8" t="s">
        <v>132</v>
      </c>
      <c r="XCB47" s="22" t="s">
        <v>46</v>
      </c>
      <c r="XCC47" s="8" t="s">
        <v>433</v>
      </c>
      <c r="XCD47" s="32" t="s">
        <v>92</v>
      </c>
      <c r="XCE47" s="8" t="s">
        <v>132</v>
      </c>
      <c r="XCF47" s="22" t="s">
        <v>46</v>
      </c>
      <c r="XCG47" s="8" t="s">
        <v>433</v>
      </c>
      <c r="XCH47" s="32" t="s">
        <v>92</v>
      </c>
      <c r="XCI47" s="8" t="s">
        <v>132</v>
      </c>
      <c r="XCJ47" s="22" t="s">
        <v>46</v>
      </c>
      <c r="XCK47" s="8" t="s">
        <v>433</v>
      </c>
      <c r="XCL47" s="32" t="s">
        <v>92</v>
      </c>
      <c r="XCM47" s="8" t="s">
        <v>132</v>
      </c>
      <c r="XCN47" s="22" t="s">
        <v>46</v>
      </c>
      <c r="XCO47" s="8" t="s">
        <v>433</v>
      </c>
      <c r="XCP47" s="32" t="s">
        <v>92</v>
      </c>
      <c r="XCQ47" s="8" t="s">
        <v>132</v>
      </c>
      <c r="XCR47" s="22" t="s">
        <v>46</v>
      </c>
      <c r="XCS47" s="8" t="s">
        <v>433</v>
      </c>
      <c r="XCT47" s="32" t="s">
        <v>92</v>
      </c>
      <c r="XCU47" s="8" t="s">
        <v>132</v>
      </c>
      <c r="XCV47" s="22" t="s">
        <v>46</v>
      </c>
      <c r="XCW47" s="8" t="s">
        <v>433</v>
      </c>
      <c r="XCX47" s="32" t="s">
        <v>92</v>
      </c>
      <c r="XCY47" s="8" t="s">
        <v>132</v>
      </c>
      <c r="XCZ47" s="22" t="s">
        <v>46</v>
      </c>
      <c r="XDA47" s="8" t="s">
        <v>433</v>
      </c>
      <c r="XDB47" s="32" t="s">
        <v>92</v>
      </c>
      <c r="XDC47" s="8" t="s">
        <v>132</v>
      </c>
      <c r="XDD47" s="22" t="s">
        <v>46</v>
      </c>
      <c r="XDE47" s="8" t="s">
        <v>433</v>
      </c>
      <c r="XDF47" s="32" t="s">
        <v>92</v>
      </c>
      <c r="XDG47" s="8" t="s">
        <v>132</v>
      </c>
      <c r="XDH47" s="22" t="s">
        <v>46</v>
      </c>
      <c r="XDI47" s="8" t="s">
        <v>433</v>
      </c>
      <c r="XDJ47" s="32" t="s">
        <v>92</v>
      </c>
      <c r="XDK47" s="8" t="s">
        <v>132</v>
      </c>
      <c r="XDL47" s="22" t="s">
        <v>46</v>
      </c>
      <c r="XDM47" s="8" t="s">
        <v>433</v>
      </c>
      <c r="XDN47" s="32" t="s">
        <v>92</v>
      </c>
      <c r="XDO47" s="8" t="s">
        <v>132</v>
      </c>
      <c r="XDP47" s="22" t="s">
        <v>46</v>
      </c>
      <c r="XDQ47" s="8" t="s">
        <v>433</v>
      </c>
      <c r="XDR47" s="32" t="s">
        <v>92</v>
      </c>
      <c r="XDS47" s="8" t="s">
        <v>132</v>
      </c>
      <c r="XDT47" s="22" t="s">
        <v>46</v>
      </c>
      <c r="XDU47" s="8" t="s">
        <v>433</v>
      </c>
      <c r="XDV47" s="32" t="s">
        <v>92</v>
      </c>
      <c r="XDW47" s="8" t="s">
        <v>132</v>
      </c>
      <c r="XDX47" s="22" t="s">
        <v>46</v>
      </c>
      <c r="XDY47" s="8" t="s">
        <v>433</v>
      </c>
      <c r="XDZ47" s="32" t="s">
        <v>92</v>
      </c>
      <c r="XEA47" s="8" t="s">
        <v>132</v>
      </c>
      <c r="XEB47" s="22" t="s">
        <v>46</v>
      </c>
      <c r="XEC47" s="8" t="s">
        <v>433</v>
      </c>
      <c r="XED47" s="32" t="s">
        <v>92</v>
      </c>
      <c r="XEE47" s="8" t="s">
        <v>132</v>
      </c>
      <c r="XEF47" s="22" t="s">
        <v>46</v>
      </c>
      <c r="XEG47" s="8" t="s">
        <v>433</v>
      </c>
      <c r="XEH47" s="32" t="s">
        <v>92</v>
      </c>
      <c r="XEI47" s="8" t="s">
        <v>132</v>
      </c>
      <c r="XEJ47" s="22" t="s">
        <v>46</v>
      </c>
      <c r="XEK47" s="8" t="s">
        <v>433</v>
      </c>
      <c r="XEL47" s="32" t="s">
        <v>92</v>
      </c>
      <c r="XEM47" s="8" t="s">
        <v>132</v>
      </c>
      <c r="XEN47" s="22" t="s">
        <v>46</v>
      </c>
      <c r="XEO47" s="8" t="s">
        <v>433</v>
      </c>
      <c r="XEP47" s="32" t="s">
        <v>92</v>
      </c>
      <c r="XEQ47" s="8" t="s">
        <v>132</v>
      </c>
      <c r="XER47" s="22" t="s">
        <v>46</v>
      </c>
      <c r="XES47" s="8" t="s">
        <v>433</v>
      </c>
      <c r="XET47" s="32" t="s">
        <v>92</v>
      </c>
      <c r="XEU47" s="8" t="s">
        <v>132</v>
      </c>
      <c r="XEV47" s="22" t="s">
        <v>46</v>
      </c>
      <c r="XEW47" s="8" t="s">
        <v>433</v>
      </c>
      <c r="XEX47" s="32" t="s">
        <v>92</v>
      </c>
      <c r="XEY47" s="8" t="s">
        <v>132</v>
      </c>
      <c r="XEZ47" s="22" t="s">
        <v>46</v>
      </c>
      <c r="XFA47" s="8" t="s">
        <v>433</v>
      </c>
      <c r="XFB47" s="32" t="s">
        <v>92</v>
      </c>
      <c r="XFC47" s="8" t="s">
        <v>132</v>
      </c>
    </row>
    <row r="48" spans="1:16383" s="3" customFormat="1" ht="8.65" customHeight="1" x14ac:dyDescent="0.15">
      <c r="A48" s="86" t="s">
        <v>5</v>
      </c>
      <c r="B48" s="86" t="s">
        <v>517</v>
      </c>
      <c r="C48" s="86" t="s">
        <v>518</v>
      </c>
      <c r="D48" s="86" t="s">
        <v>519</v>
      </c>
      <c r="E48" s="86" t="s">
        <v>59</v>
      </c>
      <c r="F48" s="84"/>
      <c r="G48" s="85"/>
      <c r="H48" s="84"/>
      <c r="I48" s="88">
        <v>2915600</v>
      </c>
      <c r="J48" s="83">
        <v>1576100.46</v>
      </c>
      <c r="K48" s="82">
        <f t="shared" si="0"/>
        <v>1339499.54</v>
      </c>
      <c r="L48" s="164" t="s">
        <v>520</v>
      </c>
      <c r="M48" s="47"/>
      <c r="N48" s="48"/>
      <c r="O48" s="47"/>
      <c r="P48" s="49"/>
      <c r="Q48" s="47"/>
      <c r="R48" s="48"/>
      <c r="S48" s="47"/>
      <c r="T48" s="49"/>
      <c r="U48" s="47"/>
      <c r="V48" s="48"/>
      <c r="W48" s="47"/>
      <c r="X48" s="49"/>
      <c r="Y48" s="47"/>
      <c r="Z48" s="48"/>
      <c r="AA48" s="47"/>
      <c r="AB48" s="49"/>
      <c r="AC48" s="47"/>
      <c r="AD48" s="48"/>
      <c r="AE48" s="47"/>
      <c r="AF48" s="49"/>
      <c r="AG48" s="47"/>
      <c r="AH48" s="48"/>
      <c r="AI48" s="47"/>
      <c r="AJ48" s="49"/>
      <c r="AK48" s="47"/>
      <c r="AL48" s="48"/>
      <c r="AM48" s="47"/>
      <c r="AN48" s="49"/>
      <c r="AO48" s="47"/>
      <c r="AP48" s="48"/>
      <c r="AQ48" s="47"/>
      <c r="AR48" s="49"/>
      <c r="AS48" s="47"/>
      <c r="AT48" s="48"/>
      <c r="AU48" s="47"/>
      <c r="AV48" s="49"/>
      <c r="AW48" s="47"/>
      <c r="AX48" s="48"/>
      <c r="AY48" s="47"/>
      <c r="AZ48" s="49"/>
      <c r="BA48" s="47"/>
      <c r="BB48" s="48"/>
      <c r="BC48" s="47"/>
      <c r="BD48" s="49"/>
      <c r="BE48" s="47"/>
      <c r="BF48" s="48"/>
      <c r="BG48" s="47"/>
      <c r="BH48" s="49"/>
      <c r="BI48" s="47"/>
      <c r="BJ48" s="48"/>
      <c r="BK48" s="47"/>
      <c r="BL48" s="49"/>
      <c r="BM48" s="47"/>
      <c r="BN48" s="48"/>
      <c r="BO48" s="47"/>
      <c r="BP48" s="49"/>
      <c r="BQ48" s="47"/>
      <c r="BR48" s="48"/>
      <c r="BS48" s="47"/>
      <c r="BT48" s="49"/>
      <c r="BU48" s="47"/>
      <c r="BV48" s="48"/>
      <c r="BW48" s="47"/>
      <c r="BX48" s="49"/>
      <c r="BY48" s="47"/>
      <c r="BZ48" s="48"/>
      <c r="CA48" s="47"/>
      <c r="CB48" s="49"/>
      <c r="CC48" s="47"/>
      <c r="CD48" s="48"/>
      <c r="CE48" s="47"/>
      <c r="CF48" s="49"/>
      <c r="CG48" s="47"/>
      <c r="CH48" s="48"/>
      <c r="CI48" s="47"/>
      <c r="CJ48" s="49"/>
      <c r="CK48" s="47"/>
      <c r="CL48" s="48"/>
      <c r="CM48" s="47"/>
      <c r="CN48" s="49"/>
      <c r="CO48" s="47"/>
      <c r="CP48" s="48"/>
      <c r="CQ48" s="47"/>
      <c r="CR48" s="49"/>
      <c r="CS48" s="47"/>
      <c r="CT48" s="48"/>
      <c r="CU48" s="47"/>
      <c r="CV48" s="49"/>
      <c r="CW48" s="47"/>
      <c r="CX48" s="48"/>
      <c r="CY48" s="47"/>
      <c r="CZ48" s="49"/>
      <c r="DA48" s="47"/>
      <c r="DB48" s="48"/>
      <c r="DC48" s="47"/>
      <c r="DD48" s="49"/>
      <c r="DE48" s="47"/>
      <c r="DF48" s="48"/>
      <c r="DG48" s="47"/>
      <c r="DH48" s="49"/>
      <c r="DI48" s="47"/>
      <c r="DJ48" s="48"/>
      <c r="DK48" s="47"/>
      <c r="DL48" s="62"/>
      <c r="DM48" s="47"/>
      <c r="DN48" s="48"/>
      <c r="DO48" s="47"/>
      <c r="DP48" s="62"/>
      <c r="DQ48" s="47"/>
      <c r="DR48" s="48"/>
      <c r="DS48" s="47"/>
      <c r="DT48" s="62"/>
      <c r="DU48" s="47"/>
      <c r="DV48" s="48"/>
      <c r="DW48" s="47"/>
      <c r="DX48" s="62"/>
      <c r="DY48" s="47"/>
      <c r="DZ48" s="48"/>
      <c r="EA48" s="47"/>
      <c r="EB48" s="62"/>
      <c r="EC48" s="47"/>
      <c r="ED48" s="48"/>
      <c r="EE48" s="47"/>
      <c r="EF48" s="62"/>
      <c r="EG48" s="47"/>
      <c r="EH48" s="48"/>
      <c r="EI48" s="47"/>
      <c r="EJ48" s="62"/>
      <c r="EK48" s="47"/>
      <c r="EL48" s="48"/>
      <c r="EM48" s="47"/>
      <c r="EN48" s="62"/>
      <c r="EO48" s="47"/>
      <c r="EP48" s="48"/>
      <c r="EQ48" s="47"/>
      <c r="ER48" s="62"/>
      <c r="ES48" s="47"/>
      <c r="ET48" s="48"/>
      <c r="EU48" s="47"/>
      <c r="EV48" s="62"/>
      <c r="EW48" s="47"/>
      <c r="EX48" s="48"/>
      <c r="EY48" s="47"/>
      <c r="EZ48" s="62"/>
      <c r="FA48" s="47"/>
      <c r="FB48" s="48"/>
      <c r="FC48" s="47"/>
      <c r="FD48" s="62"/>
      <c r="FE48" s="47"/>
      <c r="FF48" s="48"/>
      <c r="FG48" s="47"/>
      <c r="FH48" s="62"/>
      <c r="FI48" s="47"/>
      <c r="FJ48" s="48"/>
      <c r="FK48" s="47"/>
      <c r="FL48" s="62"/>
      <c r="FM48" s="47"/>
      <c r="FN48" s="48"/>
      <c r="FO48" s="47"/>
      <c r="FP48" s="62"/>
      <c r="FQ48" s="47"/>
      <c r="FR48" s="48"/>
      <c r="FS48" s="47"/>
      <c r="FT48" s="62"/>
      <c r="FU48" s="47"/>
      <c r="FV48" s="48"/>
      <c r="FW48" s="47"/>
      <c r="FX48" s="62"/>
      <c r="FY48" s="47"/>
      <c r="FZ48" s="48"/>
      <c r="GA48" s="47"/>
      <c r="GB48" s="62"/>
      <c r="GC48" s="47"/>
      <c r="GD48" s="48"/>
      <c r="GE48" s="47"/>
      <c r="GF48" s="62"/>
      <c r="GG48" s="47"/>
      <c r="GH48" s="48"/>
      <c r="GI48" s="47"/>
      <c r="GJ48" s="62"/>
      <c r="GK48" s="47"/>
      <c r="GL48" s="48"/>
      <c r="GM48" s="47"/>
      <c r="GN48" s="62"/>
      <c r="GO48" s="47"/>
      <c r="GP48" s="48"/>
      <c r="GQ48" s="47"/>
      <c r="GR48" s="62"/>
      <c r="GS48" s="47"/>
      <c r="GT48" s="48"/>
      <c r="GU48" s="47"/>
      <c r="GV48" s="62"/>
      <c r="GW48" s="47"/>
      <c r="GX48" s="48"/>
      <c r="GY48" s="47"/>
      <c r="GZ48" s="62"/>
      <c r="HA48" s="47"/>
      <c r="HB48" s="48"/>
      <c r="HC48" s="47"/>
      <c r="HD48" s="62"/>
      <c r="HE48" s="47"/>
      <c r="HF48" s="48"/>
      <c r="HG48" s="47"/>
      <c r="HH48" s="62"/>
      <c r="HI48" s="47"/>
      <c r="HJ48" s="48"/>
      <c r="HK48" s="47"/>
      <c r="HL48" s="62"/>
      <c r="HM48" s="47"/>
      <c r="HN48" s="48"/>
      <c r="HO48" s="47"/>
      <c r="HP48" s="62"/>
      <c r="HQ48" s="47"/>
      <c r="HR48" s="48"/>
      <c r="HS48" s="47"/>
      <c r="HT48" s="62"/>
      <c r="HU48" s="47"/>
      <c r="HV48" s="48"/>
      <c r="HW48" s="47"/>
      <c r="HX48" s="62"/>
      <c r="HY48" s="47"/>
      <c r="HZ48" s="48"/>
      <c r="IA48" s="47"/>
      <c r="IB48" s="62"/>
      <c r="IC48" s="47"/>
      <c r="ID48" s="48"/>
      <c r="IE48" s="47"/>
      <c r="IF48" s="62"/>
      <c r="IG48" s="47"/>
      <c r="IH48" s="48"/>
      <c r="II48" s="47"/>
      <c r="IJ48" s="62"/>
      <c r="IK48" s="47"/>
      <c r="IL48" s="48"/>
      <c r="IM48" s="47"/>
      <c r="IN48" s="62"/>
      <c r="IO48" s="47"/>
      <c r="IP48" s="48"/>
      <c r="IQ48" s="47"/>
      <c r="IR48" s="62"/>
      <c r="IS48" s="47"/>
      <c r="IT48" s="48"/>
      <c r="IU48" s="47"/>
      <c r="IV48" s="62"/>
      <c r="IW48" s="47"/>
      <c r="IX48" s="48"/>
      <c r="IY48" s="47"/>
      <c r="IZ48" s="62"/>
      <c r="JA48" s="47"/>
      <c r="JB48" s="48"/>
      <c r="JC48" s="47"/>
      <c r="JD48" s="62"/>
      <c r="JE48" s="47"/>
      <c r="JF48" s="48"/>
      <c r="JG48" s="47"/>
      <c r="JH48" s="62"/>
      <c r="JI48" s="47"/>
      <c r="JJ48" s="48"/>
      <c r="JK48" s="47"/>
      <c r="JL48" s="62"/>
      <c r="JM48" s="47"/>
      <c r="JN48" s="48"/>
      <c r="JO48" s="47"/>
      <c r="JP48" s="62"/>
      <c r="JQ48" s="47"/>
      <c r="JR48" s="48"/>
      <c r="JS48" s="47"/>
      <c r="JT48" s="62"/>
      <c r="JU48" s="47"/>
      <c r="JV48" s="48"/>
      <c r="JW48" s="47"/>
      <c r="JX48" s="62"/>
      <c r="JY48" s="47"/>
      <c r="JZ48" s="48"/>
      <c r="KA48" s="47"/>
      <c r="KB48" s="62"/>
      <c r="KC48" s="47"/>
      <c r="KD48" s="48"/>
      <c r="KE48" s="47"/>
      <c r="KF48" s="62"/>
      <c r="KG48" s="47"/>
      <c r="KH48" s="48"/>
      <c r="KI48" s="47"/>
      <c r="KJ48" s="62"/>
      <c r="KK48" s="47"/>
      <c r="KL48" s="48"/>
      <c r="KM48" s="47"/>
      <c r="KN48" s="62"/>
      <c r="KO48" s="47"/>
      <c r="KP48" s="48"/>
      <c r="KQ48" s="47"/>
      <c r="KR48" s="62"/>
      <c r="KS48" s="47"/>
      <c r="KT48" s="48"/>
      <c r="KU48" s="47"/>
      <c r="KV48" s="62"/>
      <c r="KW48" s="47"/>
      <c r="KX48" s="48"/>
      <c r="KY48" s="47"/>
      <c r="KZ48" s="62"/>
      <c r="LA48" s="47"/>
      <c r="LB48" s="48"/>
      <c r="LC48" s="47"/>
      <c r="LD48" s="62"/>
      <c r="LE48" s="47"/>
      <c r="LF48" s="48"/>
      <c r="LG48" s="47"/>
      <c r="LH48" s="62"/>
      <c r="LI48" s="47"/>
      <c r="LJ48" s="48"/>
      <c r="LK48" s="47"/>
      <c r="LL48" s="62"/>
      <c r="LM48" s="47"/>
      <c r="LN48" s="48"/>
      <c r="LO48" s="47"/>
      <c r="LP48" s="62"/>
      <c r="LQ48" s="47"/>
      <c r="LR48" s="48"/>
      <c r="LS48" s="47"/>
      <c r="LT48" s="62"/>
      <c r="LU48" s="47"/>
      <c r="LV48" s="48"/>
      <c r="LW48" s="47"/>
      <c r="LX48" s="62"/>
      <c r="LY48" s="47"/>
      <c r="LZ48" s="48"/>
      <c r="MA48" s="47"/>
      <c r="MB48" s="62"/>
      <c r="MC48" s="47"/>
      <c r="MD48" s="48"/>
      <c r="ME48" s="47"/>
      <c r="MF48" s="62"/>
      <c r="MG48" s="47"/>
      <c r="MH48" s="48"/>
      <c r="MI48" s="47"/>
      <c r="MJ48" s="62"/>
      <c r="MK48" s="47"/>
      <c r="ML48" s="48"/>
      <c r="MM48" s="47"/>
      <c r="MN48" s="62"/>
      <c r="MO48" s="47"/>
      <c r="MP48" s="48"/>
      <c r="MQ48" s="47"/>
      <c r="MR48" s="62"/>
      <c r="MS48" s="47"/>
      <c r="MT48" s="48"/>
      <c r="MU48" s="47"/>
      <c r="MV48" s="62"/>
      <c r="MW48" s="47"/>
      <c r="MX48" s="48"/>
      <c r="MY48" s="47"/>
      <c r="MZ48" s="62"/>
      <c r="NA48" s="47"/>
      <c r="NB48" s="48"/>
      <c r="NC48" s="47"/>
      <c r="ND48" s="62"/>
      <c r="NE48" s="47"/>
      <c r="NF48" s="48"/>
      <c r="NG48" s="47"/>
      <c r="NH48" s="62"/>
      <c r="NI48" s="47"/>
      <c r="NJ48" s="48"/>
      <c r="NK48" s="47"/>
      <c r="NL48" s="62"/>
      <c r="NM48" s="47"/>
      <c r="NN48" s="48"/>
      <c r="NO48" s="47"/>
      <c r="NP48" s="62"/>
      <c r="NQ48" s="47"/>
      <c r="NR48" s="48"/>
      <c r="NS48" s="47"/>
      <c r="NT48" s="62"/>
      <c r="NU48" s="47"/>
      <c r="NV48" s="48"/>
      <c r="NW48" s="47"/>
      <c r="NX48" s="62"/>
      <c r="NY48" s="47"/>
      <c r="NZ48" s="48"/>
      <c r="OA48" s="47"/>
      <c r="OB48" s="62"/>
      <c r="OC48" s="47"/>
      <c r="OD48" s="48"/>
      <c r="OE48" s="47"/>
      <c r="OF48" s="62"/>
      <c r="OG48" s="47"/>
      <c r="OH48" s="48"/>
      <c r="OI48" s="47"/>
      <c r="OJ48" s="62"/>
      <c r="OK48" s="47"/>
      <c r="OL48" s="48"/>
      <c r="OM48" s="47"/>
      <c r="ON48" s="62"/>
      <c r="OO48" s="47"/>
      <c r="OP48" s="48"/>
      <c r="OQ48" s="47"/>
      <c r="OR48" s="62"/>
      <c r="OS48" s="47"/>
      <c r="OT48" s="48"/>
      <c r="OU48" s="47"/>
      <c r="OV48" s="62"/>
      <c r="OW48" s="47"/>
      <c r="OX48" s="48"/>
      <c r="OY48" s="47"/>
      <c r="OZ48" s="62"/>
      <c r="PA48" s="47"/>
      <c r="PB48" s="48"/>
      <c r="PC48" s="47"/>
      <c r="PD48" s="62"/>
      <c r="PE48" s="47"/>
      <c r="PF48" s="48"/>
      <c r="PG48" s="47"/>
      <c r="PH48" s="62"/>
      <c r="PI48" s="47"/>
      <c r="PJ48" s="48"/>
      <c r="PK48" s="47"/>
      <c r="PL48" s="62"/>
      <c r="PM48" s="47"/>
      <c r="PN48" s="48"/>
      <c r="PO48" s="47"/>
      <c r="PP48" s="62"/>
      <c r="PQ48" s="47"/>
      <c r="PR48" s="48"/>
      <c r="PS48" s="47"/>
      <c r="PT48" s="62"/>
      <c r="PU48" s="47"/>
      <c r="PV48" s="48"/>
      <c r="PW48" s="47"/>
      <c r="PX48" s="62"/>
      <c r="PY48" s="47"/>
      <c r="PZ48" s="48"/>
      <c r="QA48" s="47"/>
      <c r="QB48" s="62"/>
      <c r="QC48" s="47"/>
      <c r="QD48" s="48"/>
      <c r="QE48" s="47"/>
      <c r="QF48" s="62"/>
      <c r="QG48" s="47"/>
      <c r="QH48" s="48"/>
      <c r="QI48" s="47"/>
      <c r="QJ48" s="62"/>
      <c r="QK48" s="47"/>
      <c r="QL48" s="48"/>
      <c r="QM48" s="47"/>
      <c r="QN48" s="62"/>
      <c r="QO48" s="47"/>
      <c r="QP48" s="48"/>
      <c r="QQ48" s="47"/>
      <c r="QR48" s="62"/>
      <c r="QS48" s="47"/>
      <c r="QT48" s="48"/>
      <c r="QU48" s="47"/>
      <c r="QV48" s="62"/>
      <c r="QW48" s="47"/>
      <c r="QX48" s="48"/>
      <c r="QY48" s="47"/>
      <c r="QZ48" s="62"/>
      <c r="RA48" s="47"/>
      <c r="RB48" s="48"/>
      <c r="RC48" s="47"/>
      <c r="RD48" s="62"/>
      <c r="RE48" s="47"/>
      <c r="RF48" s="48"/>
      <c r="RG48" s="47"/>
      <c r="RH48" s="62"/>
      <c r="RI48" s="47"/>
      <c r="RJ48" s="48"/>
      <c r="RK48" s="47"/>
      <c r="RL48" s="62"/>
      <c r="RM48" s="47"/>
      <c r="RN48" s="48"/>
      <c r="RO48" s="47"/>
      <c r="RP48" s="62"/>
      <c r="RQ48" s="47"/>
      <c r="RR48" s="48"/>
      <c r="RS48" s="47"/>
      <c r="RT48" s="62"/>
      <c r="RU48" s="47"/>
      <c r="RV48" s="48"/>
      <c r="RW48" s="47"/>
      <c r="RX48" s="62"/>
      <c r="RY48" s="47"/>
      <c r="RZ48" s="48"/>
      <c r="SA48" s="47"/>
      <c r="SB48" s="62"/>
      <c r="SC48" s="47"/>
      <c r="SD48" s="48"/>
      <c r="SE48" s="47"/>
      <c r="SF48" s="62"/>
      <c r="SG48" s="47"/>
      <c r="SH48" s="48"/>
      <c r="SI48" s="47"/>
      <c r="SJ48" s="62"/>
      <c r="SK48" s="47"/>
      <c r="SL48" s="48"/>
      <c r="SM48" s="47"/>
      <c r="SN48" s="62"/>
      <c r="SO48" s="47"/>
      <c r="SP48" s="48"/>
      <c r="SQ48" s="47"/>
      <c r="SR48" s="62"/>
      <c r="SS48" s="47"/>
      <c r="ST48" s="48"/>
      <c r="SU48" s="47"/>
      <c r="SV48" s="62"/>
      <c r="SW48" s="47"/>
      <c r="SX48" s="48"/>
      <c r="SY48" s="47"/>
      <c r="SZ48" s="62"/>
      <c r="TA48" s="47"/>
      <c r="TB48" s="48"/>
      <c r="TC48" s="47"/>
      <c r="TD48" s="62"/>
      <c r="TE48" s="47"/>
      <c r="TF48" s="48"/>
      <c r="TG48" s="47"/>
      <c r="TH48" s="62"/>
      <c r="TI48" s="47"/>
      <c r="TJ48" s="48"/>
      <c r="TK48" s="47"/>
      <c r="TL48" s="62"/>
      <c r="TM48" s="47"/>
      <c r="TN48" s="48"/>
      <c r="TO48" s="47"/>
      <c r="TP48" s="62"/>
      <c r="TQ48" s="47"/>
      <c r="TR48" s="48"/>
      <c r="TS48" s="47"/>
      <c r="TT48" s="62"/>
      <c r="TU48" s="47"/>
      <c r="TV48" s="48"/>
      <c r="TW48" s="47"/>
      <c r="TX48" s="62"/>
      <c r="TY48" s="47"/>
      <c r="TZ48" s="48"/>
      <c r="UA48" s="47"/>
      <c r="UB48" s="62"/>
      <c r="UC48" s="47"/>
      <c r="UD48" s="48"/>
      <c r="UE48" s="47"/>
      <c r="UF48" s="62"/>
      <c r="UG48" s="47"/>
      <c r="UH48" s="48"/>
      <c r="UI48" s="47"/>
      <c r="UJ48" s="62"/>
      <c r="UK48" s="47"/>
      <c r="UL48" s="48"/>
      <c r="UM48" s="47"/>
      <c r="UN48" s="62"/>
      <c r="UO48" s="47"/>
      <c r="UP48" s="48"/>
      <c r="UQ48" s="47"/>
      <c r="UR48" s="62"/>
      <c r="US48" s="47"/>
      <c r="UT48" s="48"/>
      <c r="UU48" s="47"/>
      <c r="UV48" s="62"/>
      <c r="UW48" s="47"/>
      <c r="UX48" s="48"/>
      <c r="UY48" s="47"/>
      <c r="UZ48" s="62"/>
      <c r="VA48" s="47"/>
      <c r="VB48" s="48"/>
      <c r="VC48" s="47"/>
      <c r="VD48" s="62"/>
      <c r="VE48" s="47"/>
      <c r="VF48" s="48"/>
      <c r="VG48" s="47"/>
      <c r="VH48" s="62"/>
      <c r="VI48" s="47"/>
      <c r="VJ48" s="48"/>
      <c r="VK48" s="47"/>
      <c r="VL48" s="62"/>
      <c r="VM48" s="47"/>
      <c r="VN48" s="48"/>
      <c r="VO48" s="47"/>
      <c r="VP48" s="62"/>
      <c r="VQ48" s="47"/>
      <c r="VR48" s="48"/>
      <c r="VS48" s="47"/>
      <c r="VT48" s="62"/>
      <c r="VU48" s="47"/>
      <c r="VV48" s="48"/>
      <c r="VW48" s="47"/>
      <c r="VX48" s="62"/>
      <c r="VY48" s="47"/>
      <c r="VZ48" s="48"/>
      <c r="WA48" s="47"/>
      <c r="WB48" s="62"/>
      <c r="WC48" s="47"/>
      <c r="WD48" s="48"/>
      <c r="WE48" s="47"/>
      <c r="WF48" s="62"/>
      <c r="WG48" s="47"/>
      <c r="WH48" s="48"/>
      <c r="WI48" s="47"/>
      <c r="WJ48" s="62"/>
      <c r="WK48" s="47"/>
      <c r="WL48" s="48"/>
      <c r="WM48" s="47"/>
      <c r="WN48" s="62"/>
      <c r="WO48" s="47"/>
      <c r="WP48" s="48"/>
      <c r="WQ48" s="47"/>
      <c r="WR48" s="62"/>
      <c r="WS48" s="47"/>
      <c r="WT48" s="48"/>
      <c r="WU48" s="47"/>
      <c r="WV48" s="62"/>
      <c r="WW48" s="47"/>
      <c r="WX48" s="48"/>
      <c r="WY48" s="47"/>
      <c r="WZ48" s="62"/>
      <c r="XA48" s="47"/>
      <c r="XB48" s="48"/>
      <c r="XC48" s="47"/>
      <c r="XD48" s="62"/>
      <c r="XE48" s="47"/>
      <c r="XF48" s="48"/>
      <c r="XG48" s="47"/>
      <c r="XH48" s="62"/>
      <c r="XI48" s="47"/>
      <c r="XJ48" s="48"/>
      <c r="XK48" s="47"/>
      <c r="XL48" s="62"/>
      <c r="XM48" s="47"/>
      <c r="XN48" s="48"/>
      <c r="XO48" s="47"/>
      <c r="XP48" s="62"/>
      <c r="XQ48" s="47"/>
      <c r="XR48" s="48"/>
      <c r="XS48" s="47"/>
      <c r="XT48" s="62"/>
      <c r="XU48" s="47"/>
      <c r="XV48" s="48"/>
      <c r="XW48" s="47"/>
      <c r="XX48" s="62"/>
      <c r="XY48" s="47"/>
      <c r="XZ48" s="48"/>
      <c r="YA48" s="47"/>
      <c r="YB48" s="62"/>
      <c r="YC48" s="47"/>
      <c r="YD48" s="48"/>
      <c r="YE48" s="47"/>
      <c r="YF48" s="62"/>
      <c r="YG48" s="47"/>
      <c r="YH48" s="48"/>
      <c r="YI48" s="47"/>
      <c r="YJ48" s="62"/>
      <c r="YK48" s="47"/>
      <c r="YL48" s="48"/>
      <c r="YM48" s="47"/>
      <c r="YN48" s="62"/>
      <c r="YO48" s="47"/>
      <c r="YP48" s="48"/>
      <c r="YQ48" s="47"/>
      <c r="YR48" s="62"/>
      <c r="YS48" s="47"/>
      <c r="YT48" s="48"/>
      <c r="YU48" s="47"/>
      <c r="YV48" s="62"/>
      <c r="YW48" s="47"/>
      <c r="YX48" s="48"/>
      <c r="YY48" s="47"/>
      <c r="YZ48" s="62"/>
      <c r="ZA48" s="47"/>
      <c r="ZB48" s="48"/>
      <c r="ZC48" s="47"/>
      <c r="ZD48" s="62"/>
      <c r="ZE48" s="47"/>
      <c r="ZF48" s="48"/>
      <c r="ZG48" s="47"/>
      <c r="ZH48" s="62"/>
      <c r="ZI48" s="47"/>
      <c r="ZJ48" s="48"/>
      <c r="ZK48" s="47"/>
      <c r="ZL48" s="62"/>
      <c r="ZM48" s="47"/>
      <c r="ZN48" s="48"/>
      <c r="ZO48" s="47"/>
      <c r="ZP48" s="62"/>
      <c r="ZQ48" s="47"/>
      <c r="ZR48" s="48"/>
      <c r="ZS48" s="47"/>
      <c r="ZT48" s="62"/>
      <c r="ZU48" s="47"/>
      <c r="ZV48" s="48"/>
      <c r="ZW48" s="47"/>
      <c r="ZX48" s="62"/>
      <c r="ZY48" s="47"/>
      <c r="ZZ48" s="48"/>
      <c r="AAA48" s="47"/>
      <c r="AAB48" s="62"/>
      <c r="AAC48" s="47"/>
      <c r="AAD48" s="48"/>
      <c r="AAE48" s="47"/>
      <c r="AAF48" s="62"/>
      <c r="AAG48" s="47"/>
      <c r="AAH48" s="48"/>
      <c r="AAI48" s="47"/>
      <c r="AAJ48" s="62"/>
      <c r="AAK48" s="47"/>
      <c r="AAL48" s="48"/>
      <c r="AAM48" s="47"/>
      <c r="AAN48" s="62"/>
      <c r="AAO48" s="47"/>
      <c r="AAP48" s="48"/>
      <c r="AAQ48" s="47"/>
      <c r="AAR48" s="62"/>
      <c r="AAS48" s="47"/>
      <c r="AAT48" s="48"/>
      <c r="AAU48" s="47"/>
      <c r="AAV48" s="62"/>
      <c r="AAW48" s="47"/>
      <c r="AAX48" s="48"/>
      <c r="AAY48" s="47"/>
      <c r="AAZ48" s="62"/>
      <c r="ABA48" s="47"/>
      <c r="ABB48" s="48"/>
      <c r="ABC48" s="47"/>
      <c r="ABD48" s="62"/>
      <c r="ABE48" s="47"/>
      <c r="ABF48" s="48"/>
      <c r="ABG48" s="47"/>
      <c r="ABH48" s="62"/>
      <c r="ABI48" s="47"/>
      <c r="ABJ48" s="48"/>
      <c r="ABK48" s="47"/>
      <c r="ABL48" s="62"/>
      <c r="ABM48" s="47"/>
      <c r="ABN48" s="48"/>
      <c r="ABO48" s="47"/>
      <c r="ABP48" s="62"/>
      <c r="ABQ48" s="47"/>
      <c r="ABR48" s="48"/>
      <c r="ABS48" s="47"/>
      <c r="ABT48" s="62"/>
      <c r="ABU48" s="47"/>
      <c r="ABV48" s="48"/>
      <c r="ABW48" s="47"/>
      <c r="ABX48" s="62"/>
      <c r="ABY48" s="47"/>
      <c r="ABZ48" s="48"/>
      <c r="ACA48" s="47"/>
      <c r="ACB48" s="62"/>
      <c r="ACC48" s="47"/>
      <c r="ACD48" s="48"/>
      <c r="ACE48" s="47"/>
      <c r="ACF48" s="62"/>
      <c r="ACG48" s="47"/>
      <c r="ACH48" s="48"/>
      <c r="ACI48" s="47"/>
      <c r="ACJ48" s="62"/>
      <c r="ACK48" s="47"/>
      <c r="ACL48" s="48"/>
      <c r="ACM48" s="47"/>
      <c r="ACN48" s="62"/>
      <c r="ACO48" s="47"/>
      <c r="ACP48" s="48"/>
      <c r="ACQ48" s="47"/>
      <c r="ACR48" s="62"/>
      <c r="ACS48" s="47"/>
      <c r="ACT48" s="48"/>
      <c r="ACU48" s="47"/>
      <c r="ACV48" s="62"/>
      <c r="ACW48" s="47"/>
      <c r="ACX48" s="48"/>
      <c r="ACY48" s="47"/>
      <c r="ACZ48" s="62"/>
      <c r="ADA48" s="47"/>
      <c r="ADB48" s="48"/>
      <c r="ADC48" s="47"/>
      <c r="ADD48" s="62"/>
      <c r="ADE48" s="47"/>
      <c r="ADF48" s="48"/>
      <c r="ADG48" s="47"/>
      <c r="ADH48" s="62"/>
      <c r="ADI48" s="47"/>
      <c r="ADJ48" s="48"/>
      <c r="ADK48" s="47"/>
      <c r="ADL48" s="62"/>
      <c r="ADM48" s="47"/>
      <c r="ADN48" s="48"/>
      <c r="ADO48" s="47"/>
      <c r="ADP48" s="62"/>
      <c r="ADQ48" s="47"/>
      <c r="ADR48" s="48"/>
      <c r="ADS48" s="47"/>
      <c r="ADT48" s="62"/>
      <c r="ADU48" s="47"/>
      <c r="ADV48" s="48"/>
      <c r="ADW48" s="47"/>
      <c r="ADX48" s="62"/>
      <c r="ADY48" s="47"/>
      <c r="ADZ48" s="48"/>
      <c r="AEA48" s="47"/>
      <c r="AEB48" s="62"/>
      <c r="AEC48" s="47"/>
      <c r="AED48" s="48"/>
      <c r="AEE48" s="47"/>
      <c r="AEF48" s="62"/>
      <c r="AEG48" s="47"/>
      <c r="AEH48" s="48"/>
      <c r="AEI48" s="47"/>
      <c r="AEJ48" s="62"/>
      <c r="AEK48" s="47"/>
      <c r="AEL48" s="48"/>
      <c r="AEM48" s="47"/>
      <c r="AEN48" s="62"/>
      <c r="AEO48" s="47"/>
      <c r="AEP48" s="48"/>
      <c r="AEQ48" s="47"/>
      <c r="AER48" s="62"/>
      <c r="AES48" s="47"/>
      <c r="AET48" s="48"/>
      <c r="AEU48" s="47"/>
      <c r="AEV48" s="62"/>
      <c r="AEW48" s="47"/>
      <c r="AEX48" s="48"/>
      <c r="AEY48" s="47"/>
      <c r="AEZ48" s="62"/>
      <c r="AFA48" s="47"/>
      <c r="AFB48" s="48"/>
      <c r="AFC48" s="47"/>
      <c r="AFD48" s="62"/>
      <c r="AFE48" s="47"/>
      <c r="AFF48" s="48"/>
      <c r="AFG48" s="47"/>
      <c r="AFH48" s="62"/>
      <c r="AFI48" s="47"/>
      <c r="AFJ48" s="48"/>
      <c r="AFK48" s="47"/>
      <c r="AFL48" s="62"/>
      <c r="AFM48" s="47"/>
      <c r="AFN48" s="48"/>
      <c r="AFO48" s="47"/>
      <c r="AFP48" s="62"/>
      <c r="AFQ48" s="47"/>
      <c r="AFR48" s="48"/>
      <c r="AFS48" s="47"/>
      <c r="AFT48" s="62"/>
      <c r="AFU48" s="47"/>
      <c r="AFV48" s="48"/>
      <c r="AFW48" s="47"/>
      <c r="AFX48" s="62"/>
      <c r="AFY48" s="47"/>
      <c r="AFZ48" s="48"/>
      <c r="AGA48" s="47"/>
      <c r="AGB48" s="62"/>
      <c r="AGC48" s="47"/>
      <c r="AGD48" s="48"/>
      <c r="AGE48" s="47"/>
      <c r="AGF48" s="62"/>
      <c r="AGG48" s="47"/>
      <c r="AGH48" s="48"/>
      <c r="AGI48" s="47"/>
      <c r="AGJ48" s="62"/>
      <c r="AGK48" s="47"/>
      <c r="AGL48" s="48"/>
      <c r="AGM48" s="47"/>
      <c r="AGN48" s="62"/>
      <c r="AGO48" s="47"/>
      <c r="AGP48" s="48"/>
      <c r="AGQ48" s="47"/>
      <c r="AGR48" s="62"/>
      <c r="AGS48" s="47"/>
      <c r="AGT48" s="48"/>
      <c r="AGU48" s="47"/>
      <c r="AGV48" s="62"/>
      <c r="AGW48" s="47"/>
      <c r="AGX48" s="48"/>
      <c r="AGY48" s="47"/>
      <c r="AGZ48" s="62"/>
      <c r="AHA48" s="47"/>
      <c r="AHB48" s="48"/>
      <c r="AHC48" s="47"/>
      <c r="AHD48" s="62"/>
      <c r="AHE48" s="47"/>
      <c r="AHF48" s="48"/>
      <c r="AHG48" s="47"/>
      <c r="AHH48" s="62"/>
      <c r="AHI48" s="47"/>
      <c r="AHJ48" s="48"/>
      <c r="AHK48" s="47"/>
      <c r="AHL48" s="62"/>
      <c r="AHM48" s="47"/>
      <c r="AHN48" s="48"/>
      <c r="AHO48" s="47"/>
      <c r="AHP48" s="62"/>
      <c r="AHQ48" s="47"/>
      <c r="AHR48" s="48"/>
      <c r="AHS48" s="47"/>
      <c r="AHT48" s="62"/>
      <c r="AHU48" s="47"/>
      <c r="AHV48" s="48"/>
      <c r="AHW48" s="47"/>
      <c r="AHX48" s="62"/>
      <c r="AHY48" s="47"/>
      <c r="AHZ48" s="48"/>
      <c r="AIA48" s="47"/>
      <c r="AIB48" s="62"/>
      <c r="AIC48" s="47"/>
      <c r="AID48" s="48"/>
      <c r="AIE48" s="47"/>
      <c r="AIF48" s="62"/>
      <c r="AIG48" s="47"/>
      <c r="AIH48" s="48"/>
      <c r="AII48" s="47"/>
      <c r="AIJ48" s="62"/>
      <c r="AIK48" s="47"/>
      <c r="AIL48" s="48"/>
      <c r="AIM48" s="47"/>
      <c r="AIN48" s="62"/>
      <c r="AIO48" s="47"/>
      <c r="AIP48" s="48"/>
      <c r="AIQ48" s="47"/>
      <c r="AIR48" s="62"/>
      <c r="AIS48" s="47"/>
      <c r="AIT48" s="48"/>
      <c r="AIU48" s="47"/>
      <c r="AIV48" s="62"/>
      <c r="AIW48" s="47"/>
      <c r="AIX48" s="48"/>
      <c r="AIY48" s="47"/>
      <c r="AIZ48" s="62"/>
      <c r="AJA48" s="47"/>
      <c r="AJB48" s="48"/>
      <c r="AJC48" s="47"/>
      <c r="AJD48" s="62"/>
      <c r="AJE48" s="47"/>
      <c r="AJF48" s="48"/>
      <c r="AJG48" s="47"/>
      <c r="AJH48" s="62"/>
      <c r="AJI48" s="47"/>
      <c r="AJJ48" s="48"/>
      <c r="AJK48" s="47"/>
      <c r="AJL48" s="62"/>
      <c r="AJM48" s="47"/>
      <c r="AJN48" s="48"/>
      <c r="AJO48" s="47"/>
      <c r="AJP48" s="62"/>
      <c r="AJQ48" s="47"/>
      <c r="AJR48" s="48"/>
      <c r="AJS48" s="47"/>
      <c r="AJT48" s="62"/>
      <c r="AJU48" s="47"/>
      <c r="AJV48" s="48"/>
      <c r="AJW48" s="47"/>
      <c r="AJX48" s="62"/>
      <c r="AJY48" s="47"/>
      <c r="AJZ48" s="48"/>
      <c r="AKA48" s="47"/>
      <c r="AKB48" s="62"/>
      <c r="AKC48" s="47"/>
      <c r="AKD48" s="48"/>
      <c r="AKE48" s="47"/>
      <c r="AKF48" s="62"/>
      <c r="AKG48" s="47"/>
      <c r="AKH48" s="48"/>
      <c r="AKI48" s="47"/>
      <c r="AKJ48" s="62"/>
      <c r="AKK48" s="47"/>
      <c r="AKL48" s="48"/>
      <c r="AKM48" s="47"/>
      <c r="AKN48" s="62"/>
      <c r="AKO48" s="47"/>
      <c r="AKP48" s="48"/>
      <c r="AKQ48" s="47"/>
      <c r="AKR48" s="62"/>
      <c r="AKS48" s="47"/>
      <c r="AKT48" s="48"/>
      <c r="AKU48" s="47"/>
      <c r="AKV48" s="62"/>
      <c r="AKW48" s="47"/>
      <c r="AKX48" s="48"/>
      <c r="AKY48" s="47"/>
      <c r="AKZ48" s="62"/>
      <c r="ALA48" s="47"/>
      <c r="ALB48" s="48"/>
      <c r="ALC48" s="47"/>
      <c r="ALD48" s="62"/>
      <c r="ALE48" s="47"/>
      <c r="ALF48" s="48"/>
      <c r="ALG48" s="47"/>
      <c r="ALH48" s="62"/>
      <c r="ALI48" s="47"/>
      <c r="ALJ48" s="48"/>
      <c r="ALK48" s="47"/>
      <c r="ALL48" s="62"/>
      <c r="ALM48" s="47"/>
      <c r="ALN48" s="48"/>
      <c r="ALO48" s="47"/>
      <c r="ALP48" s="62"/>
      <c r="ALQ48" s="47"/>
      <c r="ALR48" s="48"/>
      <c r="ALS48" s="47"/>
      <c r="ALT48" s="62"/>
      <c r="ALU48" s="47"/>
      <c r="ALV48" s="48"/>
      <c r="ALW48" s="47"/>
      <c r="ALX48" s="62"/>
      <c r="ALY48" s="47"/>
      <c r="ALZ48" s="48"/>
      <c r="AMA48" s="47"/>
      <c r="AMB48" s="62"/>
      <c r="AMC48" s="47"/>
      <c r="AMD48" s="48"/>
      <c r="AME48" s="47"/>
      <c r="AMF48" s="62"/>
      <c r="AMG48" s="47"/>
      <c r="AMH48" s="48"/>
      <c r="AMI48" s="47"/>
      <c r="AMJ48" s="62"/>
      <c r="AMK48" s="47"/>
      <c r="AML48" s="48"/>
      <c r="AMM48" s="47"/>
      <c r="AMN48" s="62"/>
      <c r="AMO48" s="47"/>
      <c r="AMP48" s="48"/>
      <c r="AMQ48" s="47"/>
      <c r="AMR48" s="62"/>
      <c r="AMS48" s="47"/>
      <c r="AMT48" s="48"/>
      <c r="AMU48" s="47"/>
      <c r="AMV48" s="62"/>
      <c r="AMW48" s="47"/>
      <c r="AMX48" s="48"/>
      <c r="AMY48" s="47"/>
      <c r="AMZ48" s="62"/>
      <c r="ANA48" s="47"/>
      <c r="ANB48" s="48"/>
      <c r="ANC48" s="47"/>
      <c r="AND48" s="62"/>
      <c r="ANE48" s="47"/>
      <c r="ANF48" s="48"/>
      <c r="ANG48" s="47"/>
      <c r="ANH48" s="62"/>
      <c r="ANI48" s="47"/>
      <c r="ANJ48" s="48"/>
      <c r="ANK48" s="47"/>
      <c r="ANL48" s="62"/>
      <c r="ANM48" s="47"/>
      <c r="ANN48" s="48"/>
      <c r="ANO48" s="47"/>
      <c r="ANP48" s="62"/>
      <c r="ANQ48" s="47"/>
      <c r="ANR48" s="48"/>
      <c r="ANS48" s="47"/>
      <c r="ANT48" s="62"/>
      <c r="ANU48" s="47"/>
      <c r="ANV48" s="48"/>
      <c r="ANW48" s="47"/>
      <c r="ANX48" s="62"/>
      <c r="ANY48" s="47"/>
      <c r="ANZ48" s="48"/>
      <c r="AOA48" s="47"/>
      <c r="AOB48" s="62"/>
      <c r="AOC48" s="47"/>
      <c r="AOD48" s="48"/>
      <c r="AOE48" s="47"/>
      <c r="AOF48" s="62"/>
      <c r="AOG48" s="47"/>
      <c r="AOH48" s="48"/>
      <c r="AOI48" s="47"/>
      <c r="AOJ48" s="62"/>
      <c r="AOK48" s="47"/>
      <c r="AOL48" s="48"/>
      <c r="AOM48" s="47"/>
      <c r="AON48" s="62"/>
      <c r="AOO48" s="47"/>
      <c r="AOP48" s="48"/>
      <c r="AOQ48" s="47"/>
      <c r="AOR48" s="62"/>
      <c r="AOS48" s="47"/>
      <c r="AOT48" s="48"/>
      <c r="AOU48" s="47"/>
      <c r="AOV48" s="62"/>
      <c r="AOW48" s="47"/>
      <c r="AOX48" s="48"/>
      <c r="AOY48" s="47"/>
      <c r="AOZ48" s="62"/>
      <c r="APA48" s="47"/>
      <c r="APB48" s="48"/>
      <c r="APC48" s="47"/>
      <c r="APD48" s="62"/>
      <c r="APE48" s="47"/>
      <c r="APF48" s="48"/>
      <c r="APG48" s="47"/>
      <c r="APH48" s="62"/>
      <c r="API48" s="47"/>
      <c r="APJ48" s="48"/>
      <c r="APK48" s="47"/>
      <c r="APL48" s="62"/>
      <c r="APM48" s="47"/>
      <c r="APN48" s="48"/>
      <c r="APO48" s="47"/>
      <c r="APP48" s="62"/>
      <c r="APQ48" s="47"/>
      <c r="APR48" s="48"/>
      <c r="APS48" s="47"/>
      <c r="APT48" s="62"/>
      <c r="APU48" s="47"/>
      <c r="APV48" s="48"/>
      <c r="APW48" s="47"/>
      <c r="APX48" s="62"/>
      <c r="APY48" s="47"/>
      <c r="APZ48" s="48"/>
      <c r="AQA48" s="47"/>
      <c r="AQB48" s="62"/>
      <c r="AQC48" s="47"/>
      <c r="AQD48" s="48"/>
      <c r="AQE48" s="47"/>
      <c r="AQF48" s="62"/>
      <c r="AQG48" s="47"/>
      <c r="AQH48" s="48"/>
      <c r="AQI48" s="47"/>
      <c r="AQJ48" s="62"/>
      <c r="AQK48" s="47"/>
      <c r="AQL48" s="48"/>
      <c r="AQM48" s="47"/>
      <c r="AQN48" s="62"/>
      <c r="AQO48" s="47"/>
      <c r="AQP48" s="48"/>
      <c r="AQQ48" s="47"/>
      <c r="AQR48" s="62"/>
      <c r="AQS48" s="47"/>
      <c r="AQT48" s="48"/>
      <c r="AQU48" s="47"/>
      <c r="AQV48" s="62"/>
      <c r="AQW48" s="47"/>
      <c r="AQX48" s="48"/>
      <c r="AQY48" s="47"/>
      <c r="AQZ48" s="62"/>
      <c r="ARA48" s="47"/>
      <c r="ARB48" s="48"/>
      <c r="ARC48" s="47"/>
      <c r="ARD48" s="62"/>
      <c r="ARE48" s="47"/>
      <c r="ARF48" s="48"/>
      <c r="ARG48" s="47"/>
      <c r="ARH48" s="62"/>
      <c r="ARI48" s="47"/>
      <c r="ARJ48" s="48"/>
      <c r="ARK48" s="47"/>
      <c r="ARL48" s="62"/>
      <c r="ARM48" s="47"/>
      <c r="ARN48" s="48"/>
      <c r="ARO48" s="47"/>
      <c r="ARP48" s="62"/>
      <c r="ARQ48" s="47"/>
      <c r="ARR48" s="48"/>
      <c r="ARS48" s="47"/>
      <c r="ART48" s="62"/>
      <c r="ARU48" s="47"/>
      <c r="ARV48" s="48"/>
      <c r="ARW48" s="47"/>
      <c r="ARX48" s="62"/>
      <c r="ARY48" s="47"/>
      <c r="ARZ48" s="48"/>
      <c r="ASA48" s="47"/>
      <c r="ASB48" s="62"/>
      <c r="ASC48" s="47"/>
      <c r="ASD48" s="48"/>
      <c r="ASE48" s="47"/>
      <c r="ASF48" s="62"/>
      <c r="ASG48" s="47"/>
      <c r="ASH48" s="48"/>
      <c r="ASI48" s="47"/>
      <c r="ASJ48" s="62"/>
      <c r="ASK48" s="47"/>
      <c r="ASL48" s="48"/>
      <c r="ASM48" s="47"/>
      <c r="ASN48" s="62"/>
      <c r="ASO48" s="47"/>
      <c r="ASP48" s="48"/>
      <c r="ASQ48" s="47"/>
      <c r="ASR48" s="62"/>
      <c r="ASS48" s="47"/>
      <c r="AST48" s="48"/>
      <c r="ASU48" s="47"/>
      <c r="ASV48" s="62"/>
      <c r="ASW48" s="47"/>
      <c r="ASX48" s="48"/>
      <c r="ASY48" s="47"/>
      <c r="ASZ48" s="62"/>
      <c r="ATA48" s="47"/>
      <c r="ATB48" s="48"/>
      <c r="ATC48" s="47"/>
      <c r="ATD48" s="62"/>
      <c r="ATE48" s="47"/>
      <c r="ATF48" s="48"/>
      <c r="ATG48" s="47"/>
      <c r="ATH48" s="62"/>
      <c r="ATI48" s="47"/>
      <c r="ATJ48" s="48"/>
      <c r="ATK48" s="47"/>
      <c r="ATL48" s="62"/>
      <c r="ATM48" s="47"/>
      <c r="ATN48" s="48"/>
      <c r="ATO48" s="47"/>
      <c r="ATP48" s="62"/>
      <c r="ATQ48" s="47"/>
      <c r="ATR48" s="48"/>
      <c r="ATS48" s="47"/>
      <c r="ATT48" s="62"/>
      <c r="ATU48" s="47"/>
      <c r="ATV48" s="48"/>
      <c r="ATW48" s="47"/>
      <c r="ATX48" s="62"/>
      <c r="ATY48" s="47"/>
      <c r="ATZ48" s="48"/>
      <c r="AUA48" s="47"/>
      <c r="AUB48" s="62"/>
      <c r="AUC48" s="47"/>
      <c r="AUD48" s="48"/>
      <c r="AUE48" s="47"/>
      <c r="AUF48" s="62"/>
      <c r="AUG48" s="47"/>
      <c r="AUH48" s="48"/>
      <c r="AUI48" s="47"/>
      <c r="AUJ48" s="62"/>
      <c r="AUK48" s="47"/>
      <c r="AUL48" s="48"/>
      <c r="AUM48" s="47"/>
      <c r="AUN48" s="62"/>
      <c r="AUO48" s="47"/>
      <c r="AUP48" s="48"/>
      <c r="AUQ48" s="47"/>
      <c r="AUR48" s="62"/>
      <c r="AUS48" s="47"/>
      <c r="AUT48" s="48"/>
      <c r="AUU48" s="47"/>
      <c r="AUV48" s="62"/>
      <c r="AUW48" s="47"/>
      <c r="AUX48" s="48"/>
      <c r="AUY48" s="47"/>
      <c r="AUZ48" s="62"/>
      <c r="AVA48" s="47"/>
      <c r="AVB48" s="48"/>
      <c r="AVC48" s="47"/>
      <c r="AVD48" s="62"/>
      <c r="AVE48" s="47"/>
      <c r="AVF48" s="48"/>
      <c r="AVG48" s="47"/>
      <c r="AVH48" s="62"/>
      <c r="AVI48" s="47"/>
      <c r="AVJ48" s="48"/>
      <c r="AVK48" s="47"/>
      <c r="AVL48" s="62"/>
      <c r="AVM48" s="47"/>
      <c r="AVN48" s="48"/>
      <c r="AVO48" s="47"/>
      <c r="AVP48" s="62"/>
      <c r="AVQ48" s="47"/>
      <c r="AVR48" s="48"/>
      <c r="AVS48" s="47"/>
      <c r="AVT48" s="62"/>
      <c r="AVU48" s="47"/>
      <c r="AVV48" s="48"/>
      <c r="AVW48" s="47"/>
      <c r="AVX48" s="62"/>
      <c r="AVY48" s="47"/>
      <c r="AVZ48" s="48"/>
      <c r="AWA48" s="47"/>
      <c r="AWB48" s="62"/>
      <c r="AWC48" s="47"/>
      <c r="AWD48" s="48"/>
      <c r="AWE48" s="47"/>
      <c r="AWF48" s="62"/>
      <c r="AWG48" s="47"/>
      <c r="AWH48" s="48"/>
      <c r="AWI48" s="47"/>
      <c r="AWJ48" s="62"/>
      <c r="AWK48" s="47"/>
      <c r="AWL48" s="48"/>
      <c r="AWM48" s="47"/>
      <c r="AWN48" s="62"/>
      <c r="AWO48" s="47"/>
      <c r="AWP48" s="48"/>
      <c r="AWQ48" s="47"/>
      <c r="AWR48" s="62"/>
      <c r="AWS48" s="47"/>
      <c r="AWT48" s="48"/>
      <c r="AWU48" s="47"/>
      <c r="AWV48" s="62"/>
      <c r="AWW48" s="47"/>
      <c r="AWX48" s="48"/>
      <c r="AWY48" s="47"/>
      <c r="AWZ48" s="62"/>
      <c r="AXA48" s="47"/>
      <c r="AXB48" s="48"/>
      <c r="AXC48" s="47"/>
      <c r="AXD48" s="62"/>
      <c r="AXE48" s="47"/>
      <c r="AXF48" s="48"/>
      <c r="AXG48" s="47"/>
      <c r="AXH48" s="62"/>
      <c r="AXI48" s="47"/>
      <c r="AXJ48" s="48"/>
      <c r="AXK48" s="47"/>
      <c r="AXL48" s="62"/>
      <c r="AXM48" s="47"/>
      <c r="AXN48" s="48"/>
      <c r="AXO48" s="47"/>
      <c r="AXP48" s="62"/>
      <c r="AXQ48" s="47"/>
      <c r="AXR48" s="48"/>
      <c r="AXS48" s="47"/>
      <c r="AXT48" s="62"/>
      <c r="AXU48" s="47"/>
      <c r="AXV48" s="48"/>
      <c r="AXW48" s="47"/>
      <c r="AXX48" s="62"/>
      <c r="AXY48" s="47"/>
      <c r="AXZ48" s="48"/>
      <c r="AYA48" s="47"/>
      <c r="AYB48" s="62"/>
      <c r="AYC48" s="47"/>
      <c r="AYD48" s="48"/>
      <c r="AYE48" s="47"/>
      <c r="AYF48" s="62"/>
      <c r="AYG48" s="47"/>
      <c r="AYH48" s="48"/>
      <c r="AYI48" s="47"/>
      <c r="AYJ48" s="62"/>
      <c r="AYK48" s="47"/>
      <c r="AYL48" s="48"/>
      <c r="AYM48" s="47"/>
      <c r="AYN48" s="62"/>
      <c r="AYO48" s="47"/>
      <c r="AYP48" s="48"/>
      <c r="AYQ48" s="47"/>
      <c r="AYR48" s="62"/>
      <c r="AYS48" s="47"/>
      <c r="AYT48" s="48"/>
      <c r="AYU48" s="47"/>
      <c r="AYV48" s="62"/>
      <c r="AYW48" s="47"/>
      <c r="AYX48" s="48"/>
      <c r="AYY48" s="47"/>
      <c r="AYZ48" s="62"/>
      <c r="AZA48" s="47"/>
      <c r="AZB48" s="48"/>
      <c r="AZC48" s="47"/>
      <c r="AZD48" s="62"/>
      <c r="AZE48" s="47"/>
      <c r="AZF48" s="48"/>
      <c r="AZG48" s="47"/>
      <c r="AZH48" s="62"/>
      <c r="AZI48" s="47"/>
      <c r="AZJ48" s="48"/>
      <c r="AZK48" s="47"/>
      <c r="AZL48" s="62"/>
      <c r="AZM48" s="47"/>
      <c r="AZN48" s="48"/>
      <c r="AZO48" s="47"/>
      <c r="AZP48" s="62"/>
      <c r="AZQ48" s="47"/>
      <c r="AZR48" s="48"/>
      <c r="AZS48" s="47"/>
      <c r="AZT48" s="62"/>
      <c r="AZU48" s="47"/>
      <c r="AZV48" s="48"/>
      <c r="AZW48" s="47"/>
      <c r="AZX48" s="62"/>
      <c r="AZY48" s="47"/>
      <c r="AZZ48" s="48"/>
      <c r="BAA48" s="47"/>
      <c r="BAB48" s="62"/>
      <c r="BAC48" s="47"/>
      <c r="BAD48" s="48"/>
      <c r="BAE48" s="47"/>
      <c r="BAF48" s="62"/>
      <c r="BAG48" s="47"/>
      <c r="BAH48" s="48"/>
      <c r="BAI48" s="47"/>
      <c r="BAJ48" s="62"/>
      <c r="BAK48" s="47"/>
      <c r="BAL48" s="48"/>
      <c r="BAM48" s="47"/>
      <c r="BAN48" s="62"/>
      <c r="BAO48" s="47"/>
      <c r="BAP48" s="48"/>
      <c r="BAQ48" s="47"/>
      <c r="BAR48" s="62"/>
      <c r="BAS48" s="47"/>
      <c r="BAT48" s="48"/>
      <c r="BAU48" s="47"/>
      <c r="BAV48" s="62"/>
      <c r="BAW48" s="47"/>
      <c r="BAX48" s="48"/>
      <c r="BAY48" s="47"/>
      <c r="BAZ48" s="62"/>
      <c r="BBA48" s="47"/>
      <c r="BBB48" s="48"/>
      <c r="BBC48" s="47"/>
      <c r="BBD48" s="62"/>
      <c r="BBE48" s="47"/>
      <c r="BBF48" s="48"/>
      <c r="BBG48" s="47"/>
      <c r="BBH48" s="62"/>
      <c r="BBI48" s="47"/>
      <c r="BBJ48" s="48"/>
      <c r="BBK48" s="47"/>
      <c r="BBL48" s="62"/>
      <c r="BBM48" s="47"/>
      <c r="BBN48" s="48"/>
      <c r="BBO48" s="47"/>
      <c r="BBP48" s="62"/>
      <c r="BBQ48" s="47"/>
      <c r="BBR48" s="48"/>
      <c r="BBS48" s="47"/>
      <c r="BBT48" s="62"/>
      <c r="BBU48" s="47"/>
      <c r="BBV48" s="48"/>
      <c r="BBW48" s="47"/>
      <c r="BBX48" s="62"/>
      <c r="BBY48" s="47"/>
      <c r="BBZ48" s="48"/>
      <c r="BCA48" s="47"/>
      <c r="BCB48" s="62"/>
      <c r="BCC48" s="47"/>
      <c r="BCD48" s="48"/>
      <c r="BCE48" s="47"/>
      <c r="BCF48" s="62"/>
      <c r="BCG48" s="47"/>
      <c r="BCH48" s="48"/>
      <c r="BCI48" s="47"/>
      <c r="BCJ48" s="62"/>
      <c r="BCK48" s="47"/>
      <c r="BCL48" s="48"/>
      <c r="BCM48" s="47"/>
      <c r="BCN48" s="62"/>
      <c r="BCO48" s="47"/>
      <c r="BCP48" s="48"/>
      <c r="BCQ48" s="47"/>
      <c r="BCR48" s="62"/>
      <c r="BCS48" s="47"/>
      <c r="BCT48" s="48"/>
      <c r="BCU48" s="47"/>
      <c r="BCV48" s="62"/>
      <c r="BCW48" s="47"/>
      <c r="BCX48" s="48"/>
      <c r="BCY48" s="47"/>
      <c r="BCZ48" s="62"/>
      <c r="BDA48" s="47"/>
      <c r="BDB48" s="48"/>
      <c r="BDC48" s="47"/>
      <c r="BDD48" s="62"/>
      <c r="BDE48" s="47"/>
      <c r="BDF48" s="48"/>
      <c r="BDG48" s="47"/>
      <c r="BDH48" s="62"/>
      <c r="BDI48" s="47"/>
      <c r="BDJ48" s="48"/>
      <c r="BDK48" s="47"/>
      <c r="BDL48" s="62"/>
      <c r="BDM48" s="47"/>
      <c r="BDN48" s="48"/>
      <c r="BDO48" s="47"/>
      <c r="BDP48" s="62"/>
      <c r="BDQ48" s="47"/>
      <c r="BDR48" s="48"/>
      <c r="BDS48" s="47"/>
      <c r="BDT48" s="62"/>
      <c r="BDU48" s="47"/>
      <c r="BDV48" s="48"/>
      <c r="BDW48" s="47"/>
      <c r="BDX48" s="62"/>
      <c r="BDY48" s="47"/>
      <c r="BDZ48" s="48"/>
      <c r="BEA48" s="47"/>
      <c r="BEB48" s="62"/>
      <c r="BEC48" s="47"/>
      <c r="BED48" s="48"/>
      <c r="BEE48" s="47"/>
      <c r="BEF48" s="62"/>
      <c r="BEG48" s="47"/>
      <c r="BEH48" s="48"/>
      <c r="BEI48" s="47"/>
      <c r="BEJ48" s="62"/>
      <c r="BEK48" s="47"/>
      <c r="BEL48" s="48"/>
      <c r="BEM48" s="47"/>
      <c r="BEN48" s="62"/>
      <c r="BEO48" s="47"/>
      <c r="BEP48" s="48"/>
      <c r="BEQ48" s="47"/>
      <c r="BER48" s="62"/>
      <c r="BES48" s="47"/>
      <c r="BET48" s="48"/>
      <c r="BEU48" s="47"/>
      <c r="BEV48" s="62"/>
      <c r="BEW48" s="47"/>
      <c r="BEX48" s="48"/>
      <c r="BEY48" s="47"/>
      <c r="BEZ48" s="62"/>
      <c r="BFA48" s="47"/>
      <c r="BFB48" s="48"/>
      <c r="BFC48" s="47"/>
      <c r="BFD48" s="62"/>
      <c r="BFE48" s="47"/>
      <c r="BFF48" s="48"/>
      <c r="BFG48" s="47"/>
      <c r="BFH48" s="62"/>
      <c r="BFI48" s="47"/>
      <c r="BFJ48" s="48"/>
      <c r="BFK48" s="47"/>
      <c r="BFL48" s="62"/>
      <c r="BFM48" s="47"/>
      <c r="BFN48" s="48"/>
      <c r="BFO48" s="47"/>
      <c r="BFP48" s="62"/>
      <c r="BFQ48" s="47"/>
      <c r="BFR48" s="48"/>
      <c r="BFS48" s="47"/>
      <c r="BFT48" s="62"/>
      <c r="BFU48" s="47"/>
      <c r="BFV48" s="48"/>
      <c r="BFW48" s="47"/>
      <c r="BFX48" s="62"/>
      <c r="BFY48" s="47"/>
      <c r="BFZ48" s="48"/>
      <c r="BGA48" s="47"/>
      <c r="BGB48" s="62"/>
      <c r="BGC48" s="47"/>
      <c r="BGD48" s="48"/>
      <c r="BGE48" s="47"/>
      <c r="BGF48" s="62"/>
      <c r="BGG48" s="47"/>
      <c r="BGH48" s="48"/>
      <c r="BGI48" s="47"/>
      <c r="BGJ48" s="62"/>
      <c r="BGK48" s="47"/>
      <c r="BGL48" s="48"/>
      <c r="BGM48" s="47"/>
      <c r="BGN48" s="62"/>
      <c r="BGO48" s="47"/>
      <c r="BGP48" s="48"/>
      <c r="BGQ48" s="47"/>
      <c r="BGR48" s="62"/>
      <c r="BGS48" s="47"/>
      <c r="BGT48" s="48"/>
      <c r="BGU48" s="47"/>
      <c r="BGV48" s="62"/>
      <c r="BGW48" s="47"/>
      <c r="BGX48" s="48"/>
      <c r="BGY48" s="47"/>
      <c r="BGZ48" s="62"/>
      <c r="BHA48" s="47"/>
      <c r="BHB48" s="48"/>
      <c r="BHC48" s="47"/>
      <c r="BHD48" s="62"/>
      <c r="BHE48" s="47"/>
      <c r="BHF48" s="48"/>
      <c r="BHG48" s="47"/>
      <c r="BHH48" s="62"/>
      <c r="BHI48" s="47"/>
      <c r="BHJ48" s="48"/>
      <c r="BHK48" s="47"/>
      <c r="BHL48" s="62"/>
      <c r="BHM48" s="47"/>
      <c r="BHN48" s="48"/>
      <c r="BHO48" s="47"/>
      <c r="BHP48" s="62"/>
      <c r="BHQ48" s="47"/>
      <c r="BHR48" s="48"/>
      <c r="BHS48" s="47"/>
      <c r="BHT48" s="62"/>
      <c r="BHU48" s="47"/>
      <c r="BHV48" s="48"/>
      <c r="BHW48" s="47"/>
      <c r="BHX48" s="62"/>
      <c r="BHY48" s="47"/>
      <c r="BHZ48" s="48"/>
      <c r="BIA48" s="47"/>
      <c r="BIB48" s="62"/>
      <c r="BIC48" s="47"/>
      <c r="BID48" s="48"/>
      <c r="BIE48" s="47"/>
      <c r="BIF48" s="62"/>
      <c r="BIG48" s="47"/>
      <c r="BIH48" s="48"/>
      <c r="BII48" s="47"/>
      <c r="BIJ48" s="62"/>
      <c r="BIK48" s="47"/>
      <c r="BIL48" s="48"/>
      <c r="BIM48" s="47"/>
      <c r="BIN48" s="62"/>
      <c r="BIO48" s="47"/>
      <c r="BIP48" s="48"/>
      <c r="BIQ48" s="47"/>
      <c r="BIR48" s="62"/>
      <c r="BIS48" s="47"/>
      <c r="BIT48" s="48"/>
      <c r="BIU48" s="47"/>
      <c r="BIV48" s="62"/>
      <c r="BIW48" s="47"/>
      <c r="BIX48" s="48"/>
      <c r="BIY48" s="47"/>
      <c r="BIZ48" s="62"/>
      <c r="BJA48" s="47"/>
      <c r="BJB48" s="48"/>
      <c r="BJC48" s="47"/>
      <c r="BJD48" s="62"/>
      <c r="BJE48" s="47"/>
      <c r="BJF48" s="48"/>
      <c r="BJG48" s="47"/>
      <c r="BJH48" s="62"/>
      <c r="BJI48" s="47"/>
      <c r="BJJ48" s="48"/>
      <c r="BJK48" s="47"/>
      <c r="BJL48" s="62"/>
      <c r="BJM48" s="47"/>
      <c r="BJN48" s="48"/>
      <c r="BJO48" s="47"/>
      <c r="BJP48" s="62"/>
      <c r="BJQ48" s="47"/>
      <c r="BJR48" s="48"/>
      <c r="BJS48" s="47"/>
      <c r="BJT48" s="62"/>
      <c r="BJU48" s="47"/>
      <c r="BJV48" s="48"/>
      <c r="BJW48" s="47"/>
      <c r="BJX48" s="62"/>
      <c r="BJY48" s="47"/>
      <c r="BJZ48" s="48"/>
      <c r="BKA48" s="47"/>
      <c r="BKB48" s="62"/>
      <c r="BKC48" s="47"/>
      <c r="BKD48" s="48"/>
      <c r="BKE48" s="47"/>
      <c r="BKF48" s="62"/>
      <c r="BKG48" s="47"/>
      <c r="BKH48" s="48"/>
      <c r="BKI48" s="47"/>
      <c r="BKJ48" s="62"/>
      <c r="BKK48" s="47"/>
      <c r="BKL48" s="48"/>
      <c r="BKM48" s="47"/>
      <c r="BKN48" s="62"/>
      <c r="BKO48" s="47"/>
      <c r="BKP48" s="48"/>
      <c r="BKQ48" s="47"/>
      <c r="BKR48" s="62"/>
      <c r="BKS48" s="47"/>
      <c r="BKT48" s="48"/>
      <c r="BKU48" s="47"/>
      <c r="BKV48" s="62"/>
      <c r="BKW48" s="47"/>
      <c r="BKX48" s="48"/>
      <c r="BKY48" s="47"/>
      <c r="BKZ48" s="62"/>
      <c r="BLA48" s="47"/>
      <c r="BLB48" s="48"/>
      <c r="BLC48" s="47"/>
      <c r="BLD48" s="62"/>
      <c r="BLE48" s="47"/>
      <c r="BLF48" s="48"/>
      <c r="BLG48" s="47"/>
      <c r="BLH48" s="62"/>
      <c r="BLI48" s="47"/>
      <c r="BLJ48" s="48"/>
      <c r="BLK48" s="47"/>
      <c r="BLL48" s="62"/>
      <c r="BLM48" s="47"/>
      <c r="BLN48" s="48"/>
      <c r="BLO48" s="47"/>
      <c r="BLP48" s="62"/>
      <c r="BLQ48" s="47"/>
      <c r="BLR48" s="48"/>
      <c r="BLS48" s="47"/>
      <c r="BLT48" s="62"/>
      <c r="BLU48" s="47"/>
      <c r="BLV48" s="48"/>
      <c r="BLW48" s="47"/>
      <c r="BLX48" s="62"/>
      <c r="BLY48" s="47"/>
      <c r="BLZ48" s="48"/>
      <c r="BMA48" s="47"/>
      <c r="BMB48" s="62"/>
      <c r="BMC48" s="47"/>
      <c r="BMD48" s="48"/>
      <c r="BME48" s="47"/>
      <c r="BMF48" s="62"/>
      <c r="BMG48" s="47"/>
      <c r="BMH48" s="48"/>
      <c r="BMI48" s="47"/>
      <c r="BMJ48" s="62"/>
      <c r="BMK48" s="47"/>
      <c r="BML48" s="48"/>
      <c r="BMM48" s="47"/>
      <c r="BMN48" s="62"/>
      <c r="BMO48" s="47"/>
      <c r="BMP48" s="48"/>
      <c r="BMQ48" s="47"/>
      <c r="BMR48" s="62"/>
      <c r="BMS48" s="47"/>
      <c r="BMT48" s="48"/>
      <c r="BMU48" s="47"/>
      <c r="BMV48" s="62"/>
      <c r="BMW48" s="47"/>
      <c r="BMX48" s="48"/>
      <c r="BMY48" s="47"/>
      <c r="BMZ48" s="62"/>
      <c r="BNA48" s="47"/>
      <c r="BNB48" s="48"/>
      <c r="BNC48" s="47"/>
      <c r="BND48" s="62"/>
      <c r="BNE48" s="47"/>
      <c r="BNF48" s="48"/>
      <c r="BNG48" s="47"/>
      <c r="BNH48" s="62"/>
      <c r="BNI48" s="47"/>
      <c r="BNJ48" s="48"/>
      <c r="BNK48" s="47"/>
      <c r="BNL48" s="62"/>
      <c r="BNM48" s="47"/>
      <c r="BNN48" s="48"/>
      <c r="BNO48" s="47"/>
      <c r="BNP48" s="62"/>
      <c r="BNQ48" s="47"/>
      <c r="BNR48" s="48"/>
      <c r="BNS48" s="47"/>
      <c r="BNT48" s="62"/>
      <c r="BNU48" s="47"/>
      <c r="BNV48" s="48"/>
      <c r="BNW48" s="47"/>
      <c r="BNX48" s="62"/>
      <c r="BNY48" s="47"/>
      <c r="BNZ48" s="48"/>
      <c r="BOA48" s="47"/>
      <c r="BOB48" s="62"/>
      <c r="BOC48" s="47"/>
      <c r="BOD48" s="48"/>
      <c r="BOE48" s="47"/>
      <c r="BOF48" s="62"/>
      <c r="BOG48" s="47"/>
      <c r="BOH48" s="48"/>
      <c r="BOI48" s="47"/>
      <c r="BOJ48" s="62"/>
      <c r="BOK48" s="47"/>
      <c r="BOL48" s="48"/>
      <c r="BOM48" s="47"/>
      <c r="BON48" s="62"/>
      <c r="BOO48" s="47"/>
      <c r="BOP48" s="48"/>
      <c r="BOQ48" s="47"/>
      <c r="BOR48" s="62"/>
      <c r="BOS48" s="47"/>
      <c r="BOT48" s="48"/>
      <c r="BOU48" s="47"/>
      <c r="BOV48" s="62"/>
      <c r="BOW48" s="47"/>
      <c r="BOX48" s="48"/>
      <c r="BOY48" s="47"/>
      <c r="BOZ48" s="62"/>
      <c r="BPA48" s="47"/>
      <c r="BPB48" s="48"/>
      <c r="BPC48" s="47"/>
      <c r="BPD48" s="62"/>
      <c r="BPE48" s="47"/>
      <c r="BPF48" s="48"/>
      <c r="BPG48" s="47"/>
      <c r="BPH48" s="62"/>
      <c r="BPI48" s="47"/>
      <c r="BPJ48" s="48"/>
      <c r="BPK48" s="47"/>
      <c r="BPL48" s="62"/>
      <c r="BPM48" s="47"/>
      <c r="BPN48" s="48"/>
      <c r="BPO48" s="47"/>
      <c r="BPP48" s="62"/>
      <c r="BPQ48" s="47"/>
      <c r="BPR48" s="48"/>
      <c r="BPS48" s="47"/>
      <c r="BPT48" s="62"/>
      <c r="BPU48" s="47"/>
      <c r="BPV48" s="48"/>
      <c r="BPW48" s="47"/>
      <c r="BPX48" s="62"/>
      <c r="BPY48" s="47"/>
      <c r="BPZ48" s="48"/>
      <c r="BQA48" s="47"/>
      <c r="BQB48" s="62"/>
      <c r="BQC48" s="47"/>
      <c r="BQD48" s="48"/>
      <c r="BQE48" s="47"/>
      <c r="BQF48" s="62"/>
      <c r="BQG48" s="47"/>
      <c r="BQH48" s="48"/>
      <c r="BQI48" s="47"/>
      <c r="BQJ48" s="62"/>
      <c r="BQK48" s="47"/>
      <c r="BQL48" s="48"/>
      <c r="BQM48" s="47"/>
      <c r="BQN48" s="62"/>
      <c r="BQO48" s="47"/>
      <c r="BQP48" s="48"/>
      <c r="BQQ48" s="47"/>
      <c r="BQR48" s="62"/>
      <c r="BQS48" s="47"/>
      <c r="BQT48" s="48"/>
      <c r="BQU48" s="47"/>
      <c r="BQV48" s="62"/>
      <c r="BQW48" s="47"/>
      <c r="BQX48" s="48"/>
      <c r="BQY48" s="47"/>
      <c r="BQZ48" s="62"/>
      <c r="BRA48" s="47"/>
      <c r="BRB48" s="48"/>
      <c r="BRC48" s="47"/>
      <c r="BRD48" s="62"/>
      <c r="BRE48" s="47"/>
      <c r="BRF48" s="48"/>
      <c r="BRG48" s="47"/>
      <c r="BRH48" s="62"/>
      <c r="BRI48" s="47"/>
      <c r="BRJ48" s="48"/>
      <c r="BRK48" s="47"/>
      <c r="BRL48" s="62"/>
      <c r="BRM48" s="47"/>
      <c r="BRN48" s="48"/>
      <c r="BRO48" s="47"/>
      <c r="BRP48" s="62"/>
      <c r="BRQ48" s="47"/>
      <c r="BRR48" s="48"/>
      <c r="BRS48" s="47"/>
      <c r="BRT48" s="62"/>
      <c r="BRU48" s="47"/>
      <c r="BRV48" s="48"/>
      <c r="BRW48" s="47"/>
      <c r="BRX48" s="62"/>
      <c r="BRY48" s="47"/>
      <c r="BRZ48" s="48"/>
      <c r="BSA48" s="47"/>
      <c r="BSB48" s="62"/>
      <c r="BSC48" s="47"/>
      <c r="BSD48" s="48"/>
      <c r="BSE48" s="47"/>
      <c r="BSF48" s="62"/>
      <c r="BSG48" s="47"/>
      <c r="BSH48" s="48"/>
      <c r="BSI48" s="47"/>
      <c r="BSJ48" s="62"/>
      <c r="BSK48" s="47"/>
      <c r="BSL48" s="48"/>
      <c r="BSM48" s="47"/>
      <c r="BSN48" s="62"/>
      <c r="BSO48" s="47"/>
      <c r="BSP48" s="48"/>
      <c r="BSQ48" s="47"/>
      <c r="BSR48" s="62"/>
      <c r="BSS48" s="47"/>
      <c r="BST48" s="48"/>
      <c r="BSU48" s="47"/>
      <c r="BSV48" s="62"/>
      <c r="BSW48" s="47"/>
      <c r="BSX48" s="48"/>
      <c r="BSY48" s="47"/>
      <c r="BSZ48" s="62"/>
      <c r="BTA48" s="47"/>
      <c r="BTB48" s="48"/>
      <c r="BTC48" s="47"/>
      <c r="BTD48" s="62"/>
      <c r="BTE48" s="47"/>
      <c r="BTF48" s="48"/>
      <c r="BTG48" s="47"/>
      <c r="BTH48" s="62"/>
      <c r="BTI48" s="47"/>
      <c r="BTJ48" s="48"/>
      <c r="BTK48" s="47"/>
      <c r="BTL48" s="62"/>
      <c r="BTM48" s="47"/>
      <c r="BTN48" s="48"/>
      <c r="BTO48" s="47"/>
      <c r="BTP48" s="62"/>
      <c r="BTQ48" s="47"/>
      <c r="BTR48" s="48"/>
      <c r="BTS48" s="47"/>
      <c r="BTT48" s="62"/>
      <c r="BTU48" s="47"/>
      <c r="BTV48" s="48"/>
      <c r="BTW48" s="47"/>
      <c r="BTX48" s="62"/>
      <c r="BTY48" s="47"/>
      <c r="BTZ48" s="48"/>
      <c r="BUA48" s="47"/>
      <c r="BUB48" s="62"/>
      <c r="BUC48" s="47"/>
      <c r="BUD48" s="48"/>
      <c r="BUE48" s="47"/>
      <c r="BUF48" s="62"/>
      <c r="BUG48" s="47"/>
      <c r="BUH48" s="48"/>
      <c r="BUI48" s="47"/>
      <c r="BUJ48" s="62"/>
      <c r="BUK48" s="47"/>
      <c r="BUL48" s="48"/>
      <c r="BUM48" s="47"/>
      <c r="BUN48" s="62"/>
      <c r="BUO48" s="47"/>
      <c r="BUP48" s="48"/>
      <c r="BUQ48" s="47"/>
      <c r="BUR48" s="62"/>
      <c r="BUS48" s="47"/>
      <c r="BUT48" s="48"/>
      <c r="BUU48" s="47"/>
      <c r="BUV48" s="62"/>
      <c r="BUW48" s="47"/>
      <c r="BUX48" s="48"/>
      <c r="BUY48" s="47"/>
      <c r="BUZ48" s="62"/>
      <c r="BVA48" s="47"/>
      <c r="BVB48" s="48"/>
      <c r="BVC48" s="47"/>
      <c r="BVD48" s="62"/>
      <c r="BVE48" s="47"/>
      <c r="BVF48" s="48"/>
      <c r="BVG48" s="47"/>
      <c r="BVH48" s="62"/>
      <c r="BVI48" s="47"/>
      <c r="BVJ48" s="48"/>
      <c r="BVK48" s="47"/>
      <c r="BVL48" s="62"/>
      <c r="BVM48" s="47"/>
      <c r="BVN48" s="48"/>
      <c r="BVO48" s="47"/>
      <c r="BVP48" s="62"/>
      <c r="BVQ48" s="47"/>
      <c r="BVR48" s="48"/>
      <c r="BVS48" s="47"/>
      <c r="BVT48" s="62"/>
      <c r="BVU48" s="47"/>
      <c r="BVV48" s="48"/>
      <c r="BVW48" s="47"/>
      <c r="BVX48" s="62"/>
      <c r="BVY48" s="47"/>
      <c r="BVZ48" s="48"/>
      <c r="BWA48" s="47"/>
      <c r="BWB48" s="62"/>
      <c r="BWC48" s="47"/>
      <c r="BWD48" s="48"/>
      <c r="BWE48" s="47"/>
      <c r="BWF48" s="62"/>
      <c r="BWG48" s="47"/>
      <c r="BWH48" s="48"/>
      <c r="BWI48" s="47"/>
      <c r="BWJ48" s="62"/>
      <c r="BWK48" s="47"/>
      <c r="BWL48" s="48"/>
      <c r="BWM48" s="47"/>
      <c r="BWN48" s="62"/>
      <c r="BWO48" s="47"/>
      <c r="BWP48" s="48"/>
      <c r="BWQ48" s="47"/>
      <c r="BWR48" s="62"/>
      <c r="BWS48" s="47"/>
      <c r="BWT48" s="48"/>
      <c r="BWU48" s="47"/>
      <c r="BWV48" s="62"/>
      <c r="BWW48" s="47"/>
      <c r="BWX48" s="48"/>
      <c r="BWY48" s="47"/>
      <c r="BWZ48" s="62"/>
      <c r="BXA48" s="47"/>
      <c r="BXB48" s="48"/>
      <c r="BXC48" s="47"/>
      <c r="BXD48" s="62"/>
      <c r="BXE48" s="47"/>
      <c r="BXF48" s="48"/>
      <c r="BXG48" s="47"/>
      <c r="BXH48" s="62"/>
      <c r="BXI48" s="47"/>
      <c r="BXJ48" s="48"/>
      <c r="BXK48" s="47"/>
      <c r="BXL48" s="62"/>
      <c r="BXM48" s="47"/>
      <c r="BXN48" s="48"/>
      <c r="BXO48" s="47"/>
      <c r="BXP48" s="62"/>
      <c r="BXQ48" s="47"/>
      <c r="BXR48" s="48"/>
      <c r="BXS48" s="47"/>
      <c r="BXT48" s="62"/>
      <c r="BXU48" s="47"/>
      <c r="BXV48" s="48"/>
      <c r="BXW48" s="47"/>
      <c r="BXX48" s="62"/>
      <c r="BXY48" s="47"/>
      <c r="BXZ48" s="48"/>
      <c r="BYA48" s="47"/>
      <c r="BYB48" s="62"/>
      <c r="BYC48" s="47"/>
      <c r="BYD48" s="48"/>
      <c r="BYE48" s="47"/>
      <c r="BYF48" s="62"/>
      <c r="BYG48" s="47"/>
      <c r="BYH48" s="48"/>
      <c r="BYI48" s="47"/>
      <c r="BYJ48" s="62"/>
      <c r="BYK48" s="47"/>
      <c r="BYL48" s="48"/>
      <c r="BYM48" s="47"/>
      <c r="BYN48" s="62"/>
      <c r="BYO48" s="47"/>
      <c r="BYP48" s="48"/>
      <c r="BYQ48" s="47"/>
      <c r="BYR48" s="62"/>
      <c r="BYS48" s="47"/>
      <c r="BYT48" s="48"/>
      <c r="BYU48" s="47"/>
      <c r="BYV48" s="62"/>
      <c r="BYW48" s="47"/>
      <c r="BYX48" s="48"/>
      <c r="BYY48" s="47"/>
      <c r="BYZ48" s="62"/>
      <c r="BZA48" s="47"/>
      <c r="BZB48" s="48"/>
      <c r="BZC48" s="47"/>
      <c r="BZD48" s="62"/>
      <c r="BZE48" s="47"/>
      <c r="BZF48" s="48"/>
      <c r="BZG48" s="47"/>
      <c r="BZH48" s="62"/>
      <c r="BZI48" s="47"/>
      <c r="BZJ48" s="48"/>
      <c r="BZK48" s="47"/>
      <c r="BZL48" s="62"/>
      <c r="BZM48" s="47"/>
      <c r="BZN48" s="48"/>
      <c r="BZO48" s="47"/>
      <c r="BZP48" s="62"/>
      <c r="BZQ48" s="47"/>
      <c r="BZR48" s="48"/>
      <c r="BZS48" s="47"/>
      <c r="BZT48" s="62"/>
      <c r="BZU48" s="47"/>
      <c r="BZV48" s="48"/>
      <c r="BZW48" s="47"/>
      <c r="BZX48" s="62"/>
      <c r="BZY48" s="47"/>
      <c r="BZZ48" s="48"/>
      <c r="CAA48" s="47"/>
      <c r="CAB48" s="62"/>
      <c r="CAC48" s="47"/>
      <c r="CAD48" s="48"/>
      <c r="CAE48" s="47"/>
      <c r="CAF48" s="62"/>
      <c r="CAG48" s="47"/>
      <c r="CAH48" s="48"/>
      <c r="CAI48" s="47"/>
      <c r="CAJ48" s="62"/>
      <c r="CAK48" s="47"/>
      <c r="CAL48" s="48"/>
      <c r="CAM48" s="47"/>
      <c r="CAN48" s="62"/>
      <c r="CAO48" s="47"/>
      <c r="CAP48" s="48"/>
      <c r="CAQ48" s="47"/>
      <c r="CAR48" s="62"/>
      <c r="CAS48" s="47"/>
      <c r="CAT48" s="48"/>
      <c r="CAU48" s="47"/>
      <c r="CAV48" s="62"/>
      <c r="CAW48" s="47"/>
      <c r="CAX48" s="48"/>
      <c r="CAY48" s="47"/>
      <c r="CAZ48" s="62"/>
      <c r="CBA48" s="47"/>
      <c r="CBB48" s="48"/>
      <c r="CBC48" s="47"/>
      <c r="CBD48" s="62"/>
      <c r="CBE48" s="47"/>
      <c r="CBF48" s="48"/>
      <c r="CBG48" s="47"/>
      <c r="CBH48" s="62"/>
      <c r="CBI48" s="47"/>
      <c r="CBJ48" s="48"/>
      <c r="CBK48" s="47"/>
      <c r="CBL48" s="62"/>
      <c r="CBM48" s="47"/>
      <c r="CBN48" s="48"/>
      <c r="CBO48" s="47"/>
      <c r="CBP48" s="62"/>
      <c r="CBQ48" s="47"/>
      <c r="CBR48" s="48"/>
      <c r="CBS48" s="47"/>
      <c r="CBT48" s="62"/>
      <c r="CBU48" s="47"/>
      <c r="CBV48" s="48"/>
      <c r="CBW48" s="47"/>
      <c r="CBX48" s="62"/>
      <c r="CBY48" s="47"/>
      <c r="CBZ48" s="48"/>
      <c r="CCA48" s="47"/>
      <c r="CCB48" s="62"/>
      <c r="CCC48" s="47"/>
      <c r="CCD48" s="48"/>
      <c r="CCE48" s="47"/>
      <c r="CCF48" s="62"/>
      <c r="CCG48" s="47"/>
      <c r="CCH48" s="48"/>
      <c r="CCI48" s="47"/>
      <c r="CCJ48" s="62"/>
      <c r="CCK48" s="47"/>
      <c r="CCL48" s="48"/>
      <c r="CCM48" s="47"/>
      <c r="CCN48" s="62"/>
      <c r="CCO48" s="47"/>
      <c r="CCP48" s="48"/>
      <c r="CCQ48" s="47"/>
      <c r="CCR48" s="62"/>
      <c r="CCS48" s="47"/>
      <c r="CCT48" s="48"/>
      <c r="CCU48" s="47"/>
      <c r="CCV48" s="62"/>
      <c r="CCW48" s="47"/>
      <c r="CCX48" s="48"/>
      <c r="CCY48" s="47"/>
      <c r="CCZ48" s="62"/>
      <c r="CDA48" s="47"/>
      <c r="CDB48" s="48"/>
      <c r="CDC48" s="47"/>
      <c r="CDD48" s="62"/>
      <c r="CDE48" s="47"/>
      <c r="CDF48" s="48"/>
      <c r="CDG48" s="47"/>
      <c r="CDH48" s="62"/>
      <c r="CDI48" s="47"/>
      <c r="CDJ48" s="48"/>
      <c r="CDK48" s="47"/>
      <c r="CDL48" s="62"/>
      <c r="CDM48" s="47"/>
      <c r="CDN48" s="48"/>
      <c r="CDO48" s="47"/>
      <c r="CDP48" s="62"/>
      <c r="CDQ48" s="47"/>
      <c r="CDR48" s="48"/>
      <c r="CDS48" s="47"/>
      <c r="CDT48" s="62"/>
      <c r="CDU48" s="47"/>
      <c r="CDV48" s="48"/>
      <c r="CDW48" s="47"/>
      <c r="CDX48" s="62"/>
      <c r="CDY48" s="47"/>
      <c r="CDZ48" s="48"/>
      <c r="CEA48" s="47"/>
      <c r="CEB48" s="62"/>
      <c r="CEC48" s="47"/>
      <c r="CED48" s="48"/>
      <c r="CEE48" s="47"/>
      <c r="CEF48" s="62"/>
      <c r="CEG48" s="47"/>
      <c r="CEH48" s="48"/>
      <c r="CEI48" s="47"/>
      <c r="CEJ48" s="62"/>
      <c r="CEK48" s="47"/>
      <c r="CEL48" s="48"/>
      <c r="CEM48" s="47"/>
      <c r="CEN48" s="62"/>
      <c r="CEO48" s="47"/>
      <c r="CEP48" s="48"/>
      <c r="CEQ48" s="47"/>
      <c r="CER48" s="62"/>
      <c r="CES48" s="47"/>
      <c r="CET48" s="48"/>
      <c r="CEU48" s="47"/>
      <c r="CEV48" s="62"/>
      <c r="CEW48" s="47"/>
      <c r="CEX48" s="48"/>
      <c r="CEY48" s="47"/>
      <c r="CEZ48" s="62"/>
      <c r="CFA48" s="47"/>
      <c r="CFB48" s="48"/>
      <c r="CFC48" s="47"/>
      <c r="CFD48" s="62"/>
      <c r="CFE48" s="47"/>
      <c r="CFF48" s="48"/>
      <c r="CFG48" s="47"/>
      <c r="CFH48" s="62"/>
      <c r="CFI48" s="47"/>
      <c r="CFJ48" s="48"/>
      <c r="CFK48" s="47"/>
      <c r="CFL48" s="62"/>
      <c r="CFM48" s="47"/>
      <c r="CFN48" s="48"/>
      <c r="CFO48" s="47"/>
      <c r="CFP48" s="62"/>
      <c r="CFQ48" s="47"/>
      <c r="CFR48" s="48"/>
      <c r="CFS48" s="47"/>
      <c r="CFT48" s="62"/>
      <c r="CFU48" s="47"/>
      <c r="CFV48" s="48"/>
      <c r="CFW48" s="47"/>
      <c r="CFX48" s="62"/>
      <c r="CFY48" s="47"/>
      <c r="CFZ48" s="48"/>
      <c r="CGA48" s="47"/>
      <c r="CGB48" s="62"/>
      <c r="CGC48" s="47"/>
      <c r="CGD48" s="48"/>
      <c r="CGE48" s="47"/>
      <c r="CGF48" s="62"/>
      <c r="CGG48" s="47"/>
      <c r="CGH48" s="48"/>
      <c r="CGI48" s="47"/>
      <c r="CGJ48" s="62"/>
      <c r="CGK48" s="47"/>
      <c r="CGL48" s="48"/>
      <c r="CGM48" s="47"/>
      <c r="CGN48" s="62"/>
      <c r="CGO48" s="47"/>
      <c r="CGP48" s="48"/>
      <c r="CGQ48" s="47"/>
      <c r="CGR48" s="62"/>
      <c r="CGS48" s="47"/>
      <c r="CGT48" s="48"/>
      <c r="CGU48" s="47"/>
      <c r="CGV48" s="62"/>
      <c r="CGW48" s="47"/>
      <c r="CGX48" s="48"/>
      <c r="CGY48" s="47"/>
      <c r="CGZ48" s="62"/>
      <c r="CHA48" s="47"/>
      <c r="CHB48" s="48"/>
      <c r="CHC48" s="47"/>
      <c r="CHD48" s="62"/>
      <c r="CHE48" s="47"/>
      <c r="CHF48" s="48"/>
      <c r="CHG48" s="47"/>
      <c r="CHH48" s="62"/>
      <c r="CHI48" s="47"/>
      <c r="CHJ48" s="48"/>
      <c r="CHK48" s="47"/>
      <c r="CHL48" s="62"/>
      <c r="CHM48" s="47"/>
      <c r="CHN48" s="48"/>
      <c r="CHO48" s="47"/>
      <c r="CHP48" s="62"/>
      <c r="CHQ48" s="47"/>
      <c r="CHR48" s="48"/>
      <c r="CHS48" s="47"/>
      <c r="CHT48" s="62"/>
      <c r="CHU48" s="47"/>
      <c r="CHV48" s="48"/>
      <c r="CHW48" s="47"/>
      <c r="CHX48" s="62"/>
      <c r="CHY48" s="47"/>
      <c r="CHZ48" s="48"/>
      <c r="CIA48" s="47"/>
      <c r="CIB48" s="62"/>
      <c r="CIC48" s="47"/>
      <c r="CID48" s="48"/>
      <c r="CIE48" s="47"/>
      <c r="CIF48" s="62"/>
      <c r="CIG48" s="47"/>
      <c r="CIH48" s="48"/>
      <c r="CII48" s="47"/>
      <c r="CIJ48" s="62"/>
      <c r="CIK48" s="47"/>
      <c r="CIL48" s="48"/>
      <c r="CIM48" s="47"/>
      <c r="CIN48" s="62"/>
      <c r="CIO48" s="47"/>
      <c r="CIP48" s="48"/>
      <c r="CIQ48" s="47"/>
      <c r="CIR48" s="62"/>
      <c r="CIS48" s="47"/>
      <c r="CIT48" s="48"/>
      <c r="CIU48" s="47"/>
      <c r="CIV48" s="62"/>
      <c r="CIW48" s="47"/>
      <c r="CIX48" s="48"/>
      <c r="CIY48" s="47"/>
      <c r="CIZ48" s="62"/>
      <c r="CJA48" s="47"/>
      <c r="CJB48" s="48"/>
      <c r="CJC48" s="47"/>
      <c r="CJD48" s="62"/>
      <c r="CJE48" s="47"/>
      <c r="CJF48" s="48"/>
      <c r="CJG48" s="47"/>
      <c r="CJH48" s="62"/>
      <c r="CJI48" s="47"/>
      <c r="CJJ48" s="48"/>
      <c r="CJK48" s="47"/>
      <c r="CJL48" s="62"/>
      <c r="CJM48" s="47"/>
      <c r="CJN48" s="48"/>
      <c r="CJO48" s="47"/>
      <c r="CJP48" s="62"/>
      <c r="CJQ48" s="47"/>
      <c r="CJR48" s="48"/>
      <c r="CJS48" s="47"/>
      <c r="CJT48" s="62"/>
      <c r="CJU48" s="47"/>
      <c r="CJV48" s="48"/>
      <c r="CJW48" s="47"/>
      <c r="CJX48" s="62"/>
      <c r="CJY48" s="47"/>
      <c r="CJZ48" s="48"/>
      <c r="CKA48" s="47"/>
      <c r="CKB48" s="62"/>
      <c r="CKC48" s="47"/>
      <c r="CKD48" s="48"/>
      <c r="CKE48" s="47"/>
      <c r="CKF48" s="62"/>
      <c r="CKG48" s="47"/>
      <c r="CKH48" s="48"/>
      <c r="CKI48" s="47"/>
      <c r="CKJ48" s="62"/>
      <c r="CKK48" s="47"/>
      <c r="CKL48" s="48"/>
      <c r="CKM48" s="47"/>
      <c r="CKN48" s="62"/>
      <c r="CKO48" s="47"/>
      <c r="CKP48" s="48"/>
      <c r="CKQ48" s="47"/>
      <c r="CKR48" s="62"/>
      <c r="CKS48" s="47"/>
      <c r="CKT48" s="48"/>
      <c r="CKU48" s="47"/>
      <c r="CKV48" s="62"/>
      <c r="CKW48" s="47"/>
      <c r="CKX48" s="48"/>
      <c r="CKY48" s="47"/>
      <c r="CKZ48" s="62"/>
      <c r="CLA48" s="47"/>
      <c r="CLB48" s="48"/>
      <c r="CLC48" s="47"/>
      <c r="CLD48" s="62"/>
      <c r="CLE48" s="47"/>
      <c r="CLF48" s="48"/>
      <c r="CLG48" s="47"/>
      <c r="CLH48" s="62"/>
      <c r="CLI48" s="47"/>
      <c r="CLJ48" s="48"/>
      <c r="CLK48" s="47"/>
      <c r="CLL48" s="62"/>
      <c r="CLM48" s="47"/>
      <c r="CLN48" s="48"/>
      <c r="CLO48" s="47"/>
      <c r="CLP48" s="62"/>
      <c r="CLQ48" s="47"/>
      <c r="CLR48" s="48"/>
      <c r="CLS48" s="47"/>
      <c r="CLT48" s="62"/>
      <c r="CLU48" s="47"/>
      <c r="CLV48" s="48"/>
      <c r="CLW48" s="47"/>
      <c r="CLX48" s="62"/>
      <c r="CLY48" s="47"/>
      <c r="CLZ48" s="48"/>
      <c r="CMA48" s="47"/>
      <c r="CMB48" s="62"/>
      <c r="CMC48" s="47"/>
      <c r="CMD48" s="48"/>
      <c r="CME48" s="47"/>
      <c r="CMF48" s="62"/>
      <c r="CMG48" s="47"/>
      <c r="CMH48" s="48"/>
      <c r="CMI48" s="47"/>
      <c r="CMJ48" s="62"/>
      <c r="CMK48" s="47"/>
      <c r="CML48" s="48"/>
      <c r="CMM48" s="47"/>
      <c r="CMN48" s="62"/>
      <c r="CMO48" s="47"/>
      <c r="CMP48" s="48"/>
      <c r="CMQ48" s="47"/>
      <c r="CMR48" s="62"/>
      <c r="CMS48" s="47"/>
      <c r="CMT48" s="48"/>
      <c r="CMU48" s="47"/>
      <c r="CMV48" s="62"/>
      <c r="CMW48" s="47"/>
      <c r="CMX48" s="48"/>
      <c r="CMY48" s="47"/>
      <c r="CMZ48" s="62"/>
      <c r="CNA48" s="47"/>
      <c r="CNB48" s="48"/>
      <c r="CNC48" s="47"/>
      <c r="CND48" s="62"/>
      <c r="CNE48" s="47"/>
      <c r="CNF48" s="48"/>
      <c r="CNG48" s="47"/>
      <c r="CNH48" s="62"/>
      <c r="CNI48" s="47"/>
      <c r="CNJ48" s="48"/>
      <c r="CNK48" s="47"/>
      <c r="CNL48" s="62"/>
      <c r="CNM48" s="47"/>
      <c r="CNN48" s="48"/>
      <c r="CNO48" s="47"/>
      <c r="CNP48" s="62"/>
      <c r="CNQ48" s="47"/>
      <c r="CNR48" s="48"/>
      <c r="CNS48" s="47"/>
      <c r="CNT48" s="62"/>
      <c r="CNU48" s="47"/>
      <c r="CNV48" s="48"/>
      <c r="CNW48" s="47"/>
      <c r="CNX48" s="62"/>
      <c r="CNY48" s="47"/>
      <c r="CNZ48" s="48"/>
      <c r="COA48" s="47"/>
      <c r="COB48" s="62"/>
      <c r="COC48" s="47"/>
      <c r="COD48" s="48"/>
      <c r="COE48" s="47"/>
      <c r="COF48" s="62"/>
      <c r="COG48" s="47"/>
      <c r="COH48" s="48"/>
      <c r="COI48" s="47"/>
      <c r="COJ48" s="62"/>
      <c r="COK48" s="47"/>
      <c r="COL48" s="48"/>
      <c r="COM48" s="47"/>
      <c r="CON48" s="62"/>
      <c r="COO48" s="47"/>
      <c r="COP48" s="48"/>
      <c r="COQ48" s="47"/>
      <c r="COR48" s="62"/>
      <c r="COS48" s="47"/>
      <c r="COT48" s="48"/>
      <c r="COU48" s="47"/>
      <c r="COV48" s="62"/>
      <c r="COW48" s="47"/>
      <c r="COX48" s="48"/>
      <c r="COY48" s="47"/>
      <c r="COZ48" s="62"/>
      <c r="CPA48" s="47"/>
      <c r="CPB48" s="48"/>
      <c r="CPC48" s="47"/>
      <c r="CPD48" s="62"/>
      <c r="CPE48" s="47"/>
      <c r="CPF48" s="48"/>
      <c r="CPG48" s="47"/>
      <c r="CPH48" s="62"/>
      <c r="CPI48" s="47"/>
      <c r="CPJ48" s="48"/>
      <c r="CPK48" s="47"/>
      <c r="CPL48" s="62"/>
      <c r="CPM48" s="47"/>
      <c r="CPN48" s="48"/>
      <c r="CPO48" s="47"/>
      <c r="CPP48" s="62"/>
      <c r="CPQ48" s="47"/>
      <c r="CPR48" s="48"/>
      <c r="CPS48" s="47"/>
      <c r="CPT48" s="62"/>
      <c r="CPU48" s="47"/>
      <c r="CPV48" s="48"/>
      <c r="CPW48" s="47"/>
      <c r="CPX48" s="62"/>
      <c r="CPY48" s="47"/>
      <c r="CPZ48" s="48"/>
      <c r="CQA48" s="47"/>
      <c r="CQB48" s="62"/>
      <c r="CQC48" s="47"/>
      <c r="CQD48" s="48"/>
      <c r="CQE48" s="47"/>
      <c r="CQF48" s="62"/>
      <c r="CQG48" s="47"/>
      <c r="CQH48" s="48"/>
      <c r="CQI48" s="47"/>
      <c r="CQJ48" s="62"/>
      <c r="CQK48" s="47"/>
      <c r="CQL48" s="48"/>
      <c r="CQM48" s="47"/>
      <c r="CQN48" s="62"/>
      <c r="CQO48" s="47"/>
      <c r="CQP48" s="48"/>
      <c r="CQQ48" s="47"/>
      <c r="CQR48" s="62"/>
      <c r="CQS48" s="47"/>
      <c r="CQT48" s="48"/>
      <c r="CQU48" s="47"/>
      <c r="CQV48" s="62"/>
      <c r="CQW48" s="47"/>
      <c r="CQX48" s="48"/>
      <c r="CQY48" s="47"/>
      <c r="CQZ48" s="62"/>
      <c r="CRA48" s="47"/>
      <c r="CRB48" s="48"/>
      <c r="CRC48" s="47"/>
      <c r="CRD48" s="62"/>
      <c r="CRE48" s="47"/>
      <c r="CRF48" s="48"/>
      <c r="CRG48" s="47"/>
      <c r="CRH48" s="62"/>
      <c r="CRI48" s="47"/>
      <c r="CRJ48" s="48"/>
      <c r="CRK48" s="47"/>
      <c r="CRL48" s="62"/>
      <c r="CRM48" s="47"/>
      <c r="CRN48" s="48"/>
      <c r="CRO48" s="47"/>
      <c r="CRP48" s="62"/>
      <c r="CRQ48" s="47"/>
      <c r="CRR48" s="48"/>
      <c r="CRS48" s="47"/>
      <c r="CRT48" s="62"/>
      <c r="CRU48" s="47"/>
      <c r="CRV48" s="48"/>
      <c r="CRW48" s="47"/>
      <c r="CRX48" s="62"/>
      <c r="CRY48" s="47"/>
      <c r="CRZ48" s="48"/>
      <c r="CSA48" s="47"/>
      <c r="CSB48" s="62"/>
      <c r="CSC48" s="47"/>
      <c r="CSD48" s="48"/>
      <c r="CSE48" s="47"/>
      <c r="CSF48" s="62"/>
      <c r="CSG48" s="47"/>
      <c r="CSH48" s="48"/>
      <c r="CSI48" s="47"/>
      <c r="CSJ48" s="62"/>
      <c r="CSK48" s="47"/>
      <c r="CSL48" s="48"/>
      <c r="CSM48" s="47"/>
      <c r="CSN48" s="62"/>
      <c r="CSO48" s="47"/>
      <c r="CSP48" s="48"/>
      <c r="CSQ48" s="47"/>
      <c r="CSR48" s="62"/>
      <c r="CSS48" s="47"/>
      <c r="CST48" s="48"/>
      <c r="CSU48" s="47"/>
      <c r="CSV48" s="62"/>
      <c r="CSW48" s="47"/>
      <c r="CSX48" s="48"/>
      <c r="CSY48" s="47"/>
      <c r="CSZ48" s="62"/>
      <c r="CTA48" s="47"/>
      <c r="CTB48" s="48"/>
      <c r="CTC48" s="47"/>
      <c r="CTD48" s="62"/>
      <c r="CTE48" s="47"/>
      <c r="CTF48" s="48"/>
      <c r="CTG48" s="47"/>
      <c r="CTH48" s="62"/>
      <c r="CTI48" s="47"/>
      <c r="CTJ48" s="48"/>
      <c r="CTK48" s="47"/>
      <c r="CTL48" s="62"/>
      <c r="CTM48" s="47"/>
      <c r="CTN48" s="48"/>
      <c r="CTO48" s="47"/>
      <c r="CTP48" s="62"/>
      <c r="CTQ48" s="47"/>
      <c r="CTR48" s="48"/>
      <c r="CTS48" s="47"/>
      <c r="CTT48" s="62"/>
      <c r="CTU48" s="47"/>
      <c r="CTV48" s="48"/>
      <c r="CTW48" s="47"/>
      <c r="CTX48" s="62"/>
      <c r="CTY48" s="47"/>
      <c r="CTZ48" s="48"/>
      <c r="CUA48" s="47"/>
      <c r="CUB48" s="62"/>
      <c r="CUC48" s="47"/>
      <c r="CUD48" s="48"/>
      <c r="CUE48" s="47"/>
      <c r="CUF48" s="62"/>
      <c r="CUG48" s="47"/>
      <c r="CUH48" s="48"/>
      <c r="CUI48" s="47"/>
      <c r="CUJ48" s="62"/>
      <c r="CUK48" s="47"/>
      <c r="CUL48" s="48"/>
      <c r="CUM48" s="47"/>
      <c r="CUN48" s="62"/>
      <c r="CUO48" s="47"/>
      <c r="CUP48" s="48"/>
      <c r="CUQ48" s="47"/>
      <c r="CUR48" s="62"/>
      <c r="CUS48" s="47"/>
      <c r="CUT48" s="48"/>
      <c r="CUU48" s="47"/>
      <c r="CUV48" s="62"/>
      <c r="CUW48" s="47"/>
      <c r="CUX48" s="48"/>
      <c r="CUY48" s="47"/>
      <c r="CUZ48" s="62"/>
      <c r="CVA48" s="47"/>
      <c r="CVB48" s="48"/>
      <c r="CVC48" s="47"/>
      <c r="CVD48" s="62"/>
      <c r="CVE48" s="47"/>
      <c r="CVF48" s="48"/>
      <c r="CVG48" s="47"/>
      <c r="CVH48" s="62"/>
      <c r="CVI48" s="47"/>
      <c r="CVJ48" s="48"/>
      <c r="CVK48" s="47"/>
      <c r="CVL48" s="62"/>
      <c r="CVM48" s="47"/>
      <c r="CVN48" s="48"/>
      <c r="CVO48" s="47"/>
      <c r="CVP48" s="62"/>
      <c r="CVQ48" s="47"/>
      <c r="CVR48" s="48"/>
      <c r="CVS48" s="47"/>
      <c r="CVT48" s="62"/>
      <c r="CVU48" s="47"/>
      <c r="CVV48" s="48"/>
      <c r="CVW48" s="47"/>
      <c r="CVX48" s="62"/>
      <c r="CVY48" s="47"/>
      <c r="CVZ48" s="48"/>
      <c r="CWA48" s="47"/>
      <c r="CWB48" s="62"/>
      <c r="CWC48" s="47"/>
      <c r="CWD48" s="48"/>
      <c r="CWE48" s="47"/>
      <c r="CWF48" s="62"/>
      <c r="CWG48" s="47"/>
      <c r="CWH48" s="48"/>
      <c r="CWI48" s="47"/>
      <c r="CWJ48" s="62"/>
      <c r="CWK48" s="47"/>
      <c r="CWL48" s="48"/>
      <c r="CWM48" s="47"/>
      <c r="CWN48" s="62"/>
      <c r="CWO48" s="47"/>
      <c r="CWP48" s="48"/>
      <c r="CWQ48" s="47"/>
      <c r="CWR48" s="62"/>
      <c r="CWS48" s="47"/>
      <c r="CWT48" s="48"/>
      <c r="CWU48" s="47"/>
      <c r="CWV48" s="62"/>
      <c r="CWW48" s="47"/>
      <c r="CWX48" s="48"/>
      <c r="CWY48" s="47"/>
      <c r="CWZ48" s="62"/>
      <c r="CXA48" s="47"/>
      <c r="CXB48" s="48"/>
      <c r="CXC48" s="47"/>
      <c r="CXD48" s="62"/>
      <c r="CXE48" s="47"/>
      <c r="CXF48" s="48"/>
      <c r="CXG48" s="47"/>
      <c r="CXH48" s="62"/>
      <c r="CXI48" s="47"/>
      <c r="CXJ48" s="48"/>
      <c r="CXK48" s="47"/>
      <c r="CXL48" s="62"/>
      <c r="CXM48" s="47"/>
      <c r="CXN48" s="48"/>
      <c r="CXO48" s="47"/>
      <c r="CXP48" s="62"/>
      <c r="CXQ48" s="47"/>
      <c r="CXR48" s="48"/>
      <c r="CXS48" s="47"/>
      <c r="CXT48" s="62"/>
      <c r="CXU48" s="47"/>
      <c r="CXV48" s="48"/>
      <c r="CXW48" s="47"/>
      <c r="CXX48" s="62"/>
      <c r="CXY48" s="47"/>
      <c r="CXZ48" s="48"/>
      <c r="CYA48" s="47"/>
      <c r="CYB48" s="62"/>
      <c r="CYC48" s="47"/>
      <c r="CYD48" s="48"/>
      <c r="CYE48" s="47"/>
      <c r="CYF48" s="62"/>
      <c r="CYG48" s="47"/>
      <c r="CYH48" s="48"/>
      <c r="CYI48" s="47"/>
      <c r="CYJ48" s="62"/>
      <c r="CYK48" s="47"/>
      <c r="CYL48" s="48"/>
      <c r="CYM48" s="47"/>
      <c r="CYN48" s="62"/>
      <c r="CYO48" s="47"/>
      <c r="CYP48" s="48"/>
      <c r="CYQ48" s="47"/>
      <c r="CYR48" s="62"/>
      <c r="CYS48" s="47"/>
      <c r="CYT48" s="48"/>
      <c r="CYU48" s="47"/>
      <c r="CYV48" s="62"/>
      <c r="CYW48" s="47"/>
      <c r="CYX48" s="48"/>
      <c r="CYY48" s="47"/>
      <c r="CYZ48" s="62"/>
      <c r="CZA48" s="47"/>
      <c r="CZB48" s="48"/>
      <c r="CZC48" s="47"/>
      <c r="CZD48" s="62"/>
      <c r="CZE48" s="47"/>
      <c r="CZF48" s="48"/>
      <c r="CZG48" s="47"/>
      <c r="CZH48" s="62"/>
      <c r="CZI48" s="47"/>
      <c r="CZJ48" s="48"/>
      <c r="CZK48" s="47"/>
      <c r="CZL48" s="62"/>
      <c r="CZM48" s="47"/>
      <c r="CZN48" s="48"/>
      <c r="CZO48" s="47"/>
      <c r="CZP48" s="62"/>
      <c r="CZQ48" s="47"/>
      <c r="CZR48" s="48"/>
      <c r="CZS48" s="47"/>
      <c r="CZT48" s="62"/>
      <c r="CZU48" s="47"/>
      <c r="CZV48" s="48"/>
      <c r="CZW48" s="47"/>
      <c r="CZX48" s="62"/>
      <c r="CZY48" s="47"/>
      <c r="CZZ48" s="48"/>
      <c r="DAA48" s="47"/>
      <c r="DAB48" s="62"/>
      <c r="DAC48" s="47"/>
      <c r="DAD48" s="48"/>
      <c r="DAE48" s="47"/>
      <c r="DAF48" s="62"/>
      <c r="DAG48" s="47"/>
      <c r="DAH48" s="48"/>
      <c r="DAI48" s="47"/>
      <c r="DAJ48" s="62"/>
      <c r="DAK48" s="47"/>
      <c r="DAL48" s="48"/>
      <c r="DAM48" s="47"/>
      <c r="DAN48" s="62"/>
      <c r="DAO48" s="47"/>
      <c r="DAP48" s="48"/>
      <c r="DAQ48" s="47"/>
      <c r="DAR48" s="62"/>
      <c r="DAS48" s="47"/>
      <c r="DAT48" s="48"/>
      <c r="DAU48" s="47"/>
      <c r="DAV48" s="62"/>
      <c r="DAW48" s="47"/>
      <c r="DAX48" s="48"/>
      <c r="DAY48" s="47"/>
      <c r="DAZ48" s="62"/>
      <c r="DBA48" s="47"/>
      <c r="DBB48" s="48"/>
      <c r="DBC48" s="47"/>
      <c r="DBD48" s="62"/>
      <c r="DBE48" s="47"/>
      <c r="DBF48" s="48"/>
      <c r="DBG48" s="47"/>
      <c r="DBH48" s="62"/>
      <c r="DBI48" s="47"/>
      <c r="DBJ48" s="48"/>
      <c r="DBK48" s="47"/>
      <c r="DBL48" s="62"/>
      <c r="DBM48" s="47"/>
      <c r="DBN48" s="48"/>
      <c r="DBO48" s="47"/>
      <c r="DBP48" s="62"/>
      <c r="DBQ48" s="47"/>
      <c r="DBR48" s="48"/>
      <c r="DBS48" s="47"/>
      <c r="DBT48" s="62"/>
      <c r="DBU48" s="47"/>
      <c r="DBV48" s="48"/>
      <c r="DBW48" s="47"/>
      <c r="DBX48" s="62"/>
      <c r="DBY48" s="47"/>
      <c r="DBZ48" s="48"/>
      <c r="DCA48" s="47"/>
      <c r="DCB48" s="62"/>
      <c r="DCC48" s="47"/>
      <c r="DCD48" s="48"/>
      <c r="DCE48" s="47"/>
      <c r="DCF48" s="62"/>
      <c r="DCG48" s="47"/>
      <c r="DCH48" s="48"/>
      <c r="DCI48" s="47"/>
      <c r="DCJ48" s="62"/>
      <c r="DCK48" s="47"/>
      <c r="DCL48" s="48"/>
      <c r="DCM48" s="47"/>
      <c r="DCN48" s="62"/>
      <c r="DCO48" s="47"/>
      <c r="DCP48" s="48"/>
      <c r="DCQ48" s="47"/>
      <c r="DCR48" s="62"/>
      <c r="DCS48" s="47"/>
      <c r="DCT48" s="48"/>
      <c r="DCU48" s="47"/>
      <c r="DCV48" s="62"/>
      <c r="DCW48" s="47"/>
      <c r="DCX48" s="48"/>
      <c r="DCY48" s="47"/>
      <c r="DCZ48" s="62"/>
      <c r="DDA48" s="47"/>
      <c r="DDB48" s="48"/>
      <c r="DDC48" s="47"/>
      <c r="DDD48" s="62"/>
      <c r="DDE48" s="47"/>
      <c r="DDF48" s="48"/>
      <c r="DDG48" s="47"/>
      <c r="DDH48" s="62"/>
      <c r="DDI48" s="47"/>
      <c r="DDJ48" s="48"/>
      <c r="DDK48" s="47"/>
      <c r="DDL48" s="62"/>
      <c r="DDM48" s="47"/>
      <c r="DDN48" s="48"/>
      <c r="DDO48" s="47"/>
      <c r="DDP48" s="62"/>
      <c r="DDQ48" s="47"/>
      <c r="DDR48" s="48"/>
      <c r="DDS48" s="47"/>
      <c r="DDT48" s="62"/>
      <c r="DDU48" s="47"/>
      <c r="DDV48" s="48"/>
      <c r="DDW48" s="47"/>
      <c r="DDX48" s="62"/>
      <c r="DDY48" s="47"/>
      <c r="DDZ48" s="48"/>
      <c r="DEA48" s="47"/>
      <c r="DEB48" s="62"/>
      <c r="DEC48" s="47"/>
      <c r="DED48" s="48"/>
      <c r="DEE48" s="47"/>
      <c r="DEF48" s="62"/>
      <c r="DEG48" s="47"/>
      <c r="DEH48" s="48"/>
      <c r="DEI48" s="47"/>
      <c r="DEJ48" s="62"/>
      <c r="DEK48" s="47"/>
      <c r="DEL48" s="48"/>
      <c r="DEM48" s="47"/>
      <c r="DEN48" s="62"/>
      <c r="DEO48" s="47"/>
      <c r="DEP48" s="48"/>
      <c r="DEQ48" s="47"/>
      <c r="DER48" s="62"/>
      <c r="DES48" s="47"/>
      <c r="DET48" s="48"/>
      <c r="DEU48" s="47"/>
      <c r="DEV48" s="62"/>
      <c r="DEW48" s="47"/>
      <c r="DEX48" s="48"/>
      <c r="DEY48" s="47"/>
      <c r="DEZ48" s="62"/>
      <c r="DFA48" s="47"/>
      <c r="DFB48" s="48"/>
      <c r="DFC48" s="47"/>
      <c r="DFD48" s="62"/>
      <c r="DFE48" s="47"/>
      <c r="DFF48" s="48"/>
      <c r="DFG48" s="47"/>
      <c r="DFH48" s="62"/>
      <c r="DFI48" s="47"/>
      <c r="DFJ48" s="48"/>
      <c r="DFK48" s="47"/>
      <c r="DFL48" s="62"/>
      <c r="DFM48" s="47"/>
      <c r="DFN48" s="48"/>
      <c r="DFO48" s="47"/>
      <c r="DFP48" s="62"/>
      <c r="DFQ48" s="47"/>
      <c r="DFR48" s="48"/>
      <c r="DFS48" s="47"/>
      <c r="DFT48" s="62"/>
      <c r="DFU48" s="47"/>
      <c r="DFV48" s="48"/>
      <c r="DFW48" s="47"/>
      <c r="DFX48" s="62"/>
      <c r="DFY48" s="47"/>
      <c r="DFZ48" s="48"/>
      <c r="DGA48" s="47"/>
      <c r="DGB48" s="62"/>
      <c r="DGC48" s="47"/>
      <c r="DGD48" s="48"/>
      <c r="DGE48" s="47"/>
      <c r="DGF48" s="62"/>
      <c r="DGG48" s="47"/>
      <c r="DGH48" s="48"/>
      <c r="DGI48" s="47"/>
      <c r="DGJ48" s="62"/>
      <c r="DGK48" s="47"/>
      <c r="DGL48" s="48"/>
      <c r="DGM48" s="47"/>
      <c r="DGN48" s="62"/>
      <c r="DGO48" s="47"/>
      <c r="DGP48" s="48"/>
      <c r="DGQ48" s="47"/>
      <c r="DGR48" s="62"/>
      <c r="DGS48" s="47"/>
      <c r="DGT48" s="48"/>
      <c r="DGU48" s="47"/>
      <c r="DGV48" s="62"/>
      <c r="DGW48" s="47"/>
      <c r="DGX48" s="48"/>
      <c r="DGY48" s="47"/>
      <c r="DGZ48" s="62"/>
      <c r="DHA48" s="47"/>
      <c r="DHB48" s="48"/>
      <c r="DHC48" s="47"/>
      <c r="DHD48" s="62"/>
      <c r="DHE48" s="47"/>
      <c r="DHF48" s="48"/>
      <c r="DHG48" s="47"/>
      <c r="DHH48" s="62"/>
      <c r="DHI48" s="47"/>
      <c r="DHJ48" s="48"/>
      <c r="DHK48" s="47"/>
      <c r="DHL48" s="62"/>
      <c r="DHM48" s="47"/>
      <c r="DHN48" s="48"/>
      <c r="DHO48" s="47"/>
      <c r="DHP48" s="62"/>
      <c r="DHQ48" s="47"/>
      <c r="DHR48" s="48"/>
      <c r="DHS48" s="47"/>
      <c r="DHT48" s="62"/>
      <c r="DHU48" s="47"/>
      <c r="DHV48" s="48"/>
      <c r="DHW48" s="47"/>
      <c r="DHX48" s="62"/>
      <c r="DHY48" s="47"/>
      <c r="DHZ48" s="48"/>
      <c r="DIA48" s="47"/>
      <c r="DIB48" s="62"/>
      <c r="DIC48" s="47"/>
      <c r="DID48" s="48"/>
      <c r="DIE48" s="47"/>
      <c r="DIF48" s="62"/>
      <c r="DIG48" s="47"/>
      <c r="DIH48" s="48"/>
      <c r="DII48" s="47"/>
      <c r="DIJ48" s="62"/>
      <c r="DIK48" s="47"/>
      <c r="DIL48" s="48"/>
      <c r="DIM48" s="47"/>
      <c r="DIN48" s="62"/>
      <c r="DIO48" s="47"/>
      <c r="DIP48" s="48"/>
      <c r="DIQ48" s="47"/>
      <c r="DIR48" s="62"/>
      <c r="DIS48" s="47"/>
      <c r="DIT48" s="48"/>
      <c r="DIU48" s="47"/>
      <c r="DIV48" s="62"/>
      <c r="DIW48" s="47"/>
      <c r="DIX48" s="48"/>
      <c r="DIY48" s="47"/>
      <c r="DIZ48" s="62"/>
      <c r="DJA48" s="47"/>
      <c r="DJB48" s="48"/>
      <c r="DJC48" s="47"/>
      <c r="DJD48" s="62"/>
      <c r="DJE48" s="47"/>
      <c r="DJF48" s="48"/>
      <c r="DJG48" s="47"/>
      <c r="DJH48" s="62"/>
      <c r="DJI48" s="47"/>
      <c r="DJJ48" s="48"/>
      <c r="DJK48" s="47"/>
      <c r="DJL48" s="62"/>
      <c r="DJM48" s="47"/>
      <c r="DJN48" s="48"/>
      <c r="DJO48" s="47"/>
      <c r="DJP48" s="62"/>
      <c r="DJQ48" s="47"/>
      <c r="DJR48" s="48"/>
      <c r="DJS48" s="47"/>
      <c r="DJT48" s="62"/>
      <c r="DJU48" s="47"/>
      <c r="DJV48" s="48"/>
      <c r="DJW48" s="47"/>
      <c r="DJX48" s="62"/>
      <c r="DJY48" s="47"/>
      <c r="DJZ48" s="48"/>
      <c r="DKA48" s="47"/>
      <c r="DKB48" s="62"/>
      <c r="DKC48" s="47"/>
      <c r="DKD48" s="48"/>
      <c r="DKE48" s="47"/>
      <c r="DKF48" s="62"/>
      <c r="DKG48" s="47"/>
      <c r="DKH48" s="48"/>
      <c r="DKI48" s="47"/>
      <c r="DKJ48" s="62"/>
      <c r="DKK48" s="47"/>
      <c r="DKL48" s="48"/>
      <c r="DKM48" s="47"/>
      <c r="DKN48" s="62"/>
      <c r="DKO48" s="47"/>
      <c r="DKP48" s="48"/>
      <c r="DKQ48" s="47"/>
      <c r="DKR48" s="62"/>
      <c r="DKS48" s="47"/>
      <c r="DKT48" s="48"/>
      <c r="DKU48" s="47"/>
      <c r="DKV48" s="62"/>
      <c r="DKW48" s="47"/>
      <c r="DKX48" s="48"/>
      <c r="DKY48" s="47"/>
      <c r="DKZ48" s="62"/>
      <c r="DLA48" s="47"/>
      <c r="DLB48" s="48"/>
      <c r="DLC48" s="47"/>
      <c r="DLD48" s="62"/>
      <c r="DLE48" s="47"/>
      <c r="DLF48" s="48"/>
      <c r="DLG48" s="47"/>
      <c r="DLH48" s="62"/>
      <c r="DLI48" s="47"/>
      <c r="DLJ48" s="48"/>
      <c r="DLK48" s="47"/>
      <c r="DLL48" s="62"/>
      <c r="DLM48" s="47"/>
      <c r="DLN48" s="48"/>
      <c r="DLO48" s="47"/>
      <c r="DLP48" s="62"/>
      <c r="DLQ48" s="47"/>
      <c r="DLR48" s="48"/>
      <c r="DLS48" s="47"/>
      <c r="DLT48" s="62"/>
      <c r="DLU48" s="47"/>
      <c r="DLV48" s="48"/>
      <c r="DLW48" s="47"/>
      <c r="DLX48" s="62"/>
      <c r="DLY48" s="47"/>
      <c r="DLZ48" s="48"/>
      <c r="DMA48" s="47"/>
      <c r="DMB48" s="62"/>
      <c r="DMC48" s="47"/>
      <c r="DMD48" s="48"/>
      <c r="DME48" s="47"/>
      <c r="DMF48" s="62"/>
      <c r="DMG48" s="47"/>
      <c r="DMH48" s="48"/>
      <c r="DMI48" s="47"/>
      <c r="DMJ48" s="62"/>
      <c r="DMK48" s="47"/>
      <c r="DML48" s="48"/>
      <c r="DMM48" s="47"/>
      <c r="DMN48" s="62"/>
      <c r="DMO48" s="47"/>
      <c r="DMP48" s="48"/>
      <c r="DMQ48" s="47"/>
      <c r="DMR48" s="62"/>
      <c r="DMS48" s="47"/>
      <c r="DMT48" s="48"/>
      <c r="DMU48" s="47"/>
      <c r="DMV48" s="62"/>
      <c r="DMW48" s="47"/>
      <c r="DMX48" s="48"/>
      <c r="DMY48" s="47"/>
      <c r="DMZ48" s="62"/>
      <c r="DNA48" s="47"/>
      <c r="DNB48" s="48"/>
      <c r="DNC48" s="47"/>
      <c r="DND48" s="62"/>
      <c r="DNE48" s="47"/>
      <c r="DNF48" s="48"/>
      <c r="DNG48" s="47"/>
      <c r="DNH48" s="62"/>
      <c r="DNI48" s="47"/>
      <c r="DNJ48" s="48"/>
      <c r="DNK48" s="47"/>
      <c r="DNL48" s="62"/>
      <c r="DNM48" s="47"/>
      <c r="DNN48" s="48"/>
      <c r="DNO48" s="47"/>
      <c r="DNP48" s="62"/>
      <c r="DNQ48" s="47"/>
      <c r="DNR48" s="48"/>
      <c r="DNS48" s="47"/>
      <c r="DNT48" s="62"/>
      <c r="DNU48" s="47"/>
      <c r="DNV48" s="48"/>
      <c r="DNW48" s="47"/>
      <c r="DNX48" s="62"/>
      <c r="DNY48" s="47"/>
      <c r="DNZ48" s="48"/>
      <c r="DOA48" s="47"/>
      <c r="DOB48" s="62"/>
      <c r="DOC48" s="47"/>
      <c r="DOD48" s="48"/>
      <c r="DOE48" s="47"/>
      <c r="DOF48" s="62"/>
      <c r="DOG48" s="47"/>
      <c r="DOH48" s="48"/>
      <c r="DOI48" s="47"/>
      <c r="DOJ48" s="62"/>
      <c r="DOK48" s="47"/>
      <c r="DOL48" s="48"/>
      <c r="DOM48" s="47"/>
      <c r="DON48" s="62"/>
      <c r="DOO48" s="47"/>
      <c r="DOP48" s="48"/>
      <c r="DOQ48" s="47"/>
      <c r="DOR48" s="62"/>
      <c r="DOS48" s="47"/>
      <c r="DOT48" s="48"/>
      <c r="DOU48" s="47"/>
      <c r="DOV48" s="62"/>
      <c r="DOW48" s="47"/>
      <c r="DOX48" s="48"/>
      <c r="DOY48" s="47"/>
      <c r="DOZ48" s="62"/>
      <c r="DPA48" s="47"/>
      <c r="DPB48" s="48"/>
      <c r="DPC48" s="47"/>
      <c r="DPD48" s="62"/>
      <c r="DPE48" s="47"/>
      <c r="DPF48" s="48"/>
      <c r="DPG48" s="47"/>
      <c r="DPH48" s="62"/>
      <c r="DPI48" s="47"/>
      <c r="DPJ48" s="48"/>
      <c r="DPK48" s="47"/>
      <c r="DPL48" s="62"/>
      <c r="DPM48" s="47"/>
      <c r="DPN48" s="48"/>
      <c r="DPO48" s="47"/>
      <c r="DPP48" s="62"/>
      <c r="DPQ48" s="47"/>
      <c r="DPR48" s="48"/>
      <c r="DPS48" s="47"/>
      <c r="DPT48" s="62"/>
      <c r="DPU48" s="47"/>
      <c r="DPV48" s="48"/>
      <c r="DPW48" s="47"/>
      <c r="DPX48" s="62"/>
      <c r="DPY48" s="47"/>
      <c r="DPZ48" s="48"/>
      <c r="DQA48" s="47"/>
      <c r="DQB48" s="62"/>
      <c r="DQC48" s="47"/>
      <c r="DQD48" s="48"/>
      <c r="DQE48" s="47"/>
      <c r="DQF48" s="62"/>
      <c r="DQG48" s="47"/>
      <c r="DQH48" s="48"/>
      <c r="DQI48" s="47"/>
      <c r="DQJ48" s="62"/>
      <c r="DQK48" s="47"/>
      <c r="DQL48" s="48"/>
      <c r="DQM48" s="47"/>
      <c r="DQN48" s="62"/>
      <c r="DQO48" s="47"/>
      <c r="DQP48" s="48"/>
      <c r="DQQ48" s="47"/>
      <c r="DQR48" s="62"/>
      <c r="DQS48" s="47"/>
      <c r="DQT48" s="48"/>
      <c r="DQU48" s="47"/>
      <c r="DQV48" s="62"/>
      <c r="DQW48" s="47"/>
      <c r="DQX48" s="48"/>
      <c r="DQY48" s="47"/>
      <c r="DQZ48" s="62"/>
      <c r="DRA48" s="47"/>
      <c r="DRB48" s="48"/>
      <c r="DRC48" s="47"/>
      <c r="DRD48" s="62"/>
      <c r="DRE48" s="47"/>
      <c r="DRF48" s="48"/>
      <c r="DRG48" s="47"/>
      <c r="DRH48" s="62"/>
      <c r="DRI48" s="47"/>
      <c r="DRJ48" s="48"/>
      <c r="DRK48" s="47"/>
      <c r="DRL48" s="62"/>
      <c r="DRM48" s="47"/>
      <c r="DRN48" s="48"/>
      <c r="DRO48" s="47"/>
      <c r="DRP48" s="62"/>
      <c r="DRQ48" s="47"/>
      <c r="DRR48" s="48"/>
      <c r="DRS48" s="47"/>
      <c r="DRT48" s="62"/>
      <c r="DRU48" s="47"/>
      <c r="DRV48" s="48"/>
      <c r="DRW48" s="47"/>
      <c r="DRX48" s="62"/>
      <c r="DRY48" s="47"/>
      <c r="DRZ48" s="48"/>
      <c r="DSA48" s="47"/>
      <c r="DSB48" s="62"/>
      <c r="DSC48" s="47"/>
      <c r="DSD48" s="48"/>
      <c r="DSE48" s="47"/>
      <c r="DSF48" s="62"/>
      <c r="DSG48" s="47"/>
      <c r="DSH48" s="48"/>
      <c r="DSI48" s="47"/>
      <c r="DSJ48" s="62"/>
      <c r="DSK48" s="47"/>
      <c r="DSL48" s="48"/>
      <c r="DSM48" s="47"/>
      <c r="DSN48" s="62"/>
      <c r="DSO48" s="47"/>
      <c r="DSP48" s="48"/>
      <c r="DSQ48" s="47"/>
      <c r="DSR48" s="62"/>
      <c r="DSS48" s="47"/>
      <c r="DST48" s="48"/>
      <c r="DSU48" s="47"/>
      <c r="DSV48" s="62"/>
      <c r="DSW48" s="47"/>
      <c r="DSX48" s="48"/>
      <c r="DSY48" s="47"/>
      <c r="DSZ48" s="62"/>
      <c r="DTA48" s="47"/>
      <c r="DTB48" s="48"/>
      <c r="DTC48" s="47"/>
      <c r="DTD48" s="62"/>
      <c r="DTE48" s="47"/>
      <c r="DTF48" s="48"/>
      <c r="DTG48" s="47"/>
      <c r="DTH48" s="62"/>
      <c r="DTI48" s="47"/>
      <c r="DTJ48" s="48"/>
      <c r="DTK48" s="47"/>
      <c r="DTL48" s="62"/>
      <c r="DTM48" s="47"/>
      <c r="DTN48" s="48"/>
      <c r="DTO48" s="47"/>
      <c r="DTP48" s="62"/>
      <c r="DTQ48" s="47"/>
      <c r="DTR48" s="48"/>
      <c r="DTS48" s="47"/>
      <c r="DTT48" s="62"/>
      <c r="DTU48" s="47"/>
      <c r="DTV48" s="48"/>
      <c r="DTW48" s="47"/>
      <c r="DTX48" s="62"/>
      <c r="DTY48" s="47"/>
      <c r="DTZ48" s="48"/>
      <c r="DUA48" s="47"/>
      <c r="DUB48" s="62"/>
      <c r="DUC48" s="47"/>
      <c r="DUD48" s="48"/>
      <c r="DUE48" s="47"/>
      <c r="DUF48" s="62"/>
      <c r="DUG48" s="47"/>
      <c r="DUH48" s="48"/>
      <c r="DUI48" s="47"/>
      <c r="DUJ48" s="62"/>
      <c r="DUK48" s="47"/>
      <c r="DUL48" s="48"/>
      <c r="DUM48" s="47"/>
      <c r="DUN48" s="62"/>
      <c r="DUO48" s="47"/>
      <c r="DUP48" s="48"/>
      <c r="DUQ48" s="47"/>
      <c r="DUR48" s="62"/>
      <c r="DUS48" s="47"/>
      <c r="DUT48" s="48"/>
      <c r="DUU48" s="47"/>
      <c r="DUV48" s="62"/>
      <c r="DUW48" s="47"/>
      <c r="DUX48" s="48"/>
      <c r="DUY48" s="47"/>
      <c r="DUZ48" s="62"/>
      <c r="DVA48" s="47"/>
      <c r="DVB48" s="48"/>
      <c r="DVC48" s="47"/>
      <c r="DVD48" s="62"/>
      <c r="DVE48" s="47"/>
      <c r="DVF48" s="48"/>
      <c r="DVG48" s="47"/>
      <c r="DVH48" s="62"/>
      <c r="DVI48" s="47"/>
      <c r="DVJ48" s="48"/>
      <c r="DVK48" s="47"/>
      <c r="DVL48" s="62"/>
      <c r="DVM48" s="47"/>
      <c r="DVN48" s="48"/>
      <c r="DVO48" s="47"/>
      <c r="DVP48" s="62"/>
      <c r="DVQ48" s="47"/>
      <c r="DVR48" s="48"/>
      <c r="DVS48" s="47"/>
      <c r="DVT48" s="62"/>
      <c r="DVU48" s="47"/>
      <c r="DVV48" s="48"/>
      <c r="DVW48" s="47"/>
      <c r="DVX48" s="62"/>
      <c r="DVY48" s="47"/>
      <c r="DVZ48" s="48"/>
      <c r="DWA48" s="47"/>
      <c r="DWB48" s="62"/>
      <c r="DWC48" s="47"/>
      <c r="DWD48" s="48"/>
      <c r="DWE48" s="47"/>
      <c r="DWF48" s="62"/>
      <c r="DWG48" s="47"/>
      <c r="DWH48" s="48"/>
      <c r="DWI48" s="47"/>
      <c r="DWJ48" s="62"/>
      <c r="DWK48" s="47"/>
      <c r="DWL48" s="48"/>
      <c r="DWM48" s="47"/>
      <c r="DWN48" s="62"/>
      <c r="DWO48" s="47"/>
      <c r="DWP48" s="48"/>
      <c r="DWQ48" s="47"/>
      <c r="DWR48" s="62"/>
      <c r="DWS48" s="47"/>
      <c r="DWT48" s="48"/>
      <c r="DWU48" s="47"/>
      <c r="DWV48" s="62"/>
      <c r="DWW48" s="47"/>
      <c r="DWX48" s="48"/>
      <c r="DWY48" s="47"/>
      <c r="DWZ48" s="62"/>
      <c r="DXA48" s="47"/>
      <c r="DXB48" s="48"/>
      <c r="DXC48" s="47"/>
      <c r="DXD48" s="62"/>
      <c r="DXE48" s="47"/>
      <c r="DXF48" s="48"/>
      <c r="DXG48" s="47"/>
      <c r="DXH48" s="62"/>
      <c r="DXI48" s="47"/>
      <c r="DXJ48" s="48"/>
      <c r="DXK48" s="47"/>
      <c r="DXL48" s="62"/>
      <c r="DXM48" s="47"/>
      <c r="DXN48" s="48"/>
      <c r="DXO48" s="47"/>
      <c r="DXP48" s="62"/>
      <c r="DXQ48" s="47"/>
      <c r="DXR48" s="48"/>
      <c r="DXS48" s="47"/>
      <c r="DXT48" s="62"/>
      <c r="DXU48" s="47"/>
      <c r="DXV48" s="48"/>
      <c r="DXW48" s="47"/>
      <c r="DXX48" s="62"/>
      <c r="DXY48" s="47"/>
      <c r="DXZ48" s="48"/>
      <c r="DYA48" s="47"/>
      <c r="DYB48" s="62"/>
      <c r="DYC48" s="47"/>
      <c r="DYD48" s="48"/>
      <c r="DYE48" s="47"/>
      <c r="DYF48" s="62"/>
      <c r="DYG48" s="47"/>
      <c r="DYH48" s="48"/>
      <c r="DYI48" s="47"/>
      <c r="DYJ48" s="62"/>
      <c r="DYK48" s="47"/>
      <c r="DYL48" s="48"/>
      <c r="DYM48" s="47"/>
      <c r="DYN48" s="62"/>
      <c r="DYO48" s="47"/>
      <c r="DYP48" s="48"/>
      <c r="DYQ48" s="47"/>
      <c r="DYR48" s="62"/>
      <c r="DYS48" s="47"/>
      <c r="DYT48" s="48"/>
      <c r="DYU48" s="47"/>
      <c r="DYV48" s="62"/>
      <c r="DYW48" s="47"/>
      <c r="DYX48" s="48"/>
      <c r="DYY48" s="47"/>
      <c r="DYZ48" s="62"/>
      <c r="DZA48" s="47"/>
      <c r="DZB48" s="48"/>
      <c r="DZC48" s="47"/>
      <c r="DZD48" s="62"/>
      <c r="DZE48" s="47"/>
      <c r="DZF48" s="48"/>
      <c r="DZG48" s="47"/>
      <c r="DZH48" s="62"/>
      <c r="DZI48" s="47"/>
      <c r="DZJ48" s="48"/>
      <c r="DZK48" s="47"/>
      <c r="DZL48" s="62"/>
      <c r="DZM48" s="47"/>
      <c r="DZN48" s="48"/>
      <c r="DZO48" s="47"/>
      <c r="DZP48" s="62"/>
      <c r="DZQ48" s="47"/>
      <c r="DZR48" s="48"/>
      <c r="DZS48" s="47"/>
      <c r="DZT48" s="62"/>
      <c r="DZU48" s="47"/>
      <c r="DZV48" s="48"/>
      <c r="DZW48" s="47"/>
      <c r="DZX48" s="62"/>
      <c r="DZY48" s="47"/>
      <c r="DZZ48" s="48"/>
      <c r="EAA48" s="47"/>
      <c r="EAB48" s="62"/>
      <c r="EAC48" s="47"/>
      <c r="EAD48" s="48"/>
      <c r="EAE48" s="47"/>
      <c r="EAF48" s="62"/>
      <c r="EAG48" s="47"/>
      <c r="EAH48" s="48"/>
      <c r="EAI48" s="47"/>
      <c r="EAJ48" s="62"/>
      <c r="EAK48" s="47"/>
      <c r="EAL48" s="48"/>
      <c r="EAM48" s="47"/>
      <c r="EAN48" s="62"/>
      <c r="EAO48" s="47"/>
      <c r="EAP48" s="48"/>
      <c r="EAQ48" s="47"/>
      <c r="EAR48" s="62"/>
      <c r="EAS48" s="47"/>
      <c r="EAT48" s="48"/>
      <c r="EAU48" s="47"/>
      <c r="EAV48" s="62"/>
      <c r="EAW48" s="47"/>
      <c r="EAX48" s="48"/>
      <c r="EAY48" s="47"/>
      <c r="EAZ48" s="62"/>
      <c r="EBA48" s="47"/>
      <c r="EBB48" s="48"/>
      <c r="EBC48" s="47"/>
      <c r="EBD48" s="62"/>
      <c r="EBE48" s="47"/>
      <c r="EBF48" s="48"/>
      <c r="EBG48" s="47"/>
      <c r="EBH48" s="62"/>
      <c r="EBI48" s="47"/>
      <c r="EBJ48" s="48"/>
      <c r="EBK48" s="47"/>
      <c r="EBL48" s="62"/>
      <c r="EBM48" s="47"/>
      <c r="EBN48" s="48"/>
      <c r="EBO48" s="47"/>
      <c r="EBP48" s="62"/>
      <c r="EBQ48" s="47"/>
      <c r="EBR48" s="48"/>
      <c r="EBS48" s="47"/>
      <c r="EBT48" s="62"/>
      <c r="EBU48" s="47"/>
      <c r="EBV48" s="48"/>
      <c r="EBW48" s="47"/>
      <c r="EBX48" s="62"/>
      <c r="EBY48" s="47"/>
      <c r="EBZ48" s="48"/>
      <c r="ECA48" s="47"/>
      <c r="ECB48" s="62"/>
      <c r="ECC48" s="47"/>
      <c r="ECD48" s="48"/>
      <c r="ECE48" s="47"/>
      <c r="ECF48" s="62"/>
      <c r="ECG48" s="47"/>
      <c r="ECH48" s="48"/>
      <c r="ECI48" s="47"/>
      <c r="ECJ48" s="62"/>
      <c r="ECK48" s="47"/>
      <c r="ECL48" s="48"/>
      <c r="ECM48" s="47"/>
      <c r="ECN48" s="62"/>
      <c r="ECO48" s="47"/>
      <c r="ECP48" s="48"/>
      <c r="ECQ48" s="47"/>
      <c r="ECR48" s="62"/>
      <c r="ECS48" s="47"/>
      <c r="ECT48" s="48"/>
      <c r="ECU48" s="47"/>
      <c r="ECV48" s="62"/>
      <c r="ECW48" s="47"/>
      <c r="ECX48" s="48"/>
      <c r="ECY48" s="47"/>
      <c r="ECZ48" s="62"/>
      <c r="EDA48" s="47"/>
      <c r="EDB48" s="48"/>
      <c r="EDC48" s="47"/>
      <c r="EDD48" s="62"/>
      <c r="EDE48" s="47"/>
      <c r="EDF48" s="48"/>
      <c r="EDG48" s="47"/>
      <c r="EDH48" s="62"/>
      <c r="EDI48" s="47"/>
      <c r="EDJ48" s="48"/>
      <c r="EDK48" s="47"/>
      <c r="EDL48" s="62"/>
      <c r="EDM48" s="47"/>
      <c r="EDN48" s="48"/>
      <c r="EDO48" s="47"/>
      <c r="EDP48" s="62"/>
      <c r="EDQ48" s="47"/>
      <c r="EDR48" s="48"/>
      <c r="EDS48" s="47"/>
      <c r="EDT48" s="62"/>
      <c r="EDU48" s="47"/>
      <c r="EDV48" s="48"/>
      <c r="EDW48" s="47"/>
      <c r="EDX48" s="62"/>
      <c r="EDY48" s="47"/>
      <c r="EDZ48" s="48"/>
      <c r="EEA48" s="47"/>
      <c r="EEB48" s="62"/>
      <c r="EEC48" s="47"/>
      <c r="EED48" s="48"/>
      <c r="EEE48" s="47"/>
      <c r="EEF48" s="62"/>
      <c r="EEG48" s="47"/>
      <c r="EEH48" s="48"/>
      <c r="EEI48" s="47"/>
      <c r="EEJ48" s="62"/>
      <c r="EEK48" s="47"/>
      <c r="EEL48" s="48"/>
      <c r="EEM48" s="47"/>
      <c r="EEN48" s="62"/>
      <c r="EEO48" s="47"/>
      <c r="EEP48" s="48"/>
      <c r="EEQ48" s="47"/>
      <c r="EER48" s="62"/>
      <c r="EES48" s="47"/>
      <c r="EET48" s="48"/>
      <c r="EEU48" s="47"/>
      <c r="EEV48" s="62"/>
      <c r="EEW48" s="47"/>
      <c r="EEX48" s="48"/>
      <c r="EEY48" s="47"/>
      <c r="EEZ48" s="62"/>
      <c r="EFA48" s="47"/>
      <c r="EFB48" s="48"/>
      <c r="EFC48" s="47"/>
      <c r="EFD48" s="62"/>
      <c r="EFE48" s="47"/>
      <c r="EFF48" s="48"/>
      <c r="EFG48" s="47"/>
      <c r="EFH48" s="62"/>
      <c r="EFI48" s="47"/>
      <c r="EFJ48" s="48"/>
      <c r="EFK48" s="47"/>
      <c r="EFL48" s="62"/>
      <c r="EFM48" s="47"/>
      <c r="EFN48" s="48"/>
      <c r="EFO48" s="47"/>
      <c r="EFP48" s="62"/>
      <c r="EFQ48" s="47"/>
      <c r="EFR48" s="48"/>
      <c r="EFS48" s="47"/>
      <c r="EFT48" s="62"/>
      <c r="EFU48" s="47"/>
      <c r="EFV48" s="48"/>
      <c r="EFW48" s="47"/>
      <c r="EFX48" s="62"/>
      <c r="EFY48" s="47"/>
      <c r="EFZ48" s="48"/>
      <c r="EGA48" s="47"/>
      <c r="EGB48" s="62"/>
      <c r="EGC48" s="47"/>
      <c r="EGD48" s="48"/>
      <c r="EGE48" s="47"/>
      <c r="EGF48" s="62"/>
      <c r="EGG48" s="47"/>
      <c r="EGH48" s="48"/>
      <c r="EGI48" s="47"/>
      <c r="EGJ48" s="62"/>
      <c r="EGK48" s="47"/>
      <c r="EGL48" s="48"/>
      <c r="EGM48" s="47"/>
      <c r="EGN48" s="62"/>
      <c r="EGO48" s="47"/>
      <c r="EGP48" s="48"/>
      <c r="EGQ48" s="47"/>
      <c r="EGR48" s="62"/>
      <c r="EGS48" s="47"/>
      <c r="EGT48" s="48"/>
      <c r="EGU48" s="47"/>
      <c r="EGV48" s="62"/>
      <c r="EGW48" s="47"/>
      <c r="EGX48" s="48"/>
      <c r="EGY48" s="47"/>
      <c r="EGZ48" s="62"/>
      <c r="EHA48" s="47"/>
      <c r="EHB48" s="48"/>
      <c r="EHC48" s="47"/>
      <c r="EHD48" s="62"/>
      <c r="EHE48" s="47"/>
      <c r="EHF48" s="48"/>
      <c r="EHG48" s="47"/>
      <c r="EHH48" s="62"/>
      <c r="EHI48" s="47"/>
      <c r="EHJ48" s="48"/>
      <c r="EHK48" s="47"/>
      <c r="EHL48" s="62"/>
      <c r="EHM48" s="47"/>
      <c r="EHN48" s="48"/>
      <c r="EHO48" s="47"/>
      <c r="EHP48" s="62"/>
      <c r="EHQ48" s="47"/>
      <c r="EHR48" s="48"/>
      <c r="EHS48" s="47"/>
      <c r="EHT48" s="62"/>
      <c r="EHU48" s="47"/>
      <c r="EHV48" s="48"/>
      <c r="EHW48" s="47"/>
      <c r="EHX48" s="62"/>
      <c r="EHY48" s="47"/>
      <c r="EHZ48" s="48"/>
      <c r="EIA48" s="47"/>
      <c r="EIB48" s="62"/>
      <c r="EIC48" s="47"/>
      <c r="EID48" s="48"/>
      <c r="EIE48" s="47"/>
      <c r="EIF48" s="62"/>
      <c r="EIG48" s="47"/>
      <c r="EIH48" s="48"/>
      <c r="EII48" s="47"/>
      <c r="EIJ48" s="62"/>
      <c r="EIK48" s="47"/>
      <c r="EIL48" s="48"/>
      <c r="EIM48" s="47"/>
      <c r="EIN48" s="62"/>
      <c r="EIO48" s="47"/>
      <c r="EIP48" s="48"/>
      <c r="EIQ48" s="47"/>
      <c r="EIR48" s="62"/>
      <c r="EIS48" s="47"/>
      <c r="EIT48" s="48"/>
      <c r="EIU48" s="47"/>
      <c r="EIV48" s="62"/>
      <c r="EIW48" s="47"/>
      <c r="EIX48" s="48"/>
      <c r="EIY48" s="47"/>
      <c r="EIZ48" s="62"/>
      <c r="EJA48" s="47"/>
      <c r="EJB48" s="48"/>
      <c r="EJC48" s="47"/>
      <c r="EJD48" s="62"/>
      <c r="EJE48" s="47"/>
      <c r="EJF48" s="48"/>
      <c r="EJG48" s="47"/>
      <c r="EJH48" s="62"/>
      <c r="EJI48" s="47"/>
      <c r="EJJ48" s="48"/>
      <c r="EJK48" s="47"/>
      <c r="EJL48" s="62"/>
      <c r="EJM48" s="47"/>
      <c r="EJN48" s="48"/>
      <c r="EJO48" s="47"/>
      <c r="EJP48" s="62"/>
      <c r="EJQ48" s="47"/>
      <c r="EJR48" s="48"/>
      <c r="EJS48" s="47"/>
      <c r="EJT48" s="62"/>
      <c r="EJU48" s="47"/>
      <c r="EJV48" s="48"/>
      <c r="EJW48" s="47"/>
      <c r="EJX48" s="62"/>
      <c r="EJY48" s="47"/>
      <c r="EJZ48" s="48"/>
      <c r="EKA48" s="47"/>
      <c r="EKB48" s="62"/>
      <c r="EKC48" s="47"/>
      <c r="EKD48" s="48"/>
      <c r="EKE48" s="47"/>
      <c r="EKF48" s="62"/>
      <c r="EKG48" s="47"/>
      <c r="EKH48" s="48"/>
      <c r="EKI48" s="47"/>
      <c r="EKJ48" s="62"/>
      <c r="EKK48" s="47"/>
      <c r="EKL48" s="48"/>
      <c r="EKM48" s="47"/>
      <c r="EKN48" s="62"/>
      <c r="EKO48" s="47"/>
      <c r="EKP48" s="48"/>
      <c r="EKQ48" s="47"/>
      <c r="EKR48" s="62"/>
      <c r="EKS48" s="47"/>
      <c r="EKT48" s="48"/>
      <c r="EKU48" s="47"/>
      <c r="EKV48" s="62"/>
      <c r="EKW48" s="47"/>
      <c r="EKX48" s="48"/>
      <c r="EKY48" s="47"/>
      <c r="EKZ48" s="62"/>
      <c r="ELA48" s="47"/>
      <c r="ELB48" s="48"/>
      <c r="ELC48" s="47"/>
      <c r="ELD48" s="62"/>
      <c r="ELE48" s="47"/>
      <c r="ELF48" s="48"/>
      <c r="ELG48" s="47"/>
      <c r="ELH48" s="62"/>
      <c r="ELI48" s="47"/>
      <c r="ELJ48" s="48"/>
      <c r="ELK48" s="47"/>
      <c r="ELL48" s="62"/>
      <c r="ELM48" s="47"/>
      <c r="ELN48" s="48"/>
      <c r="ELO48" s="47"/>
      <c r="ELP48" s="62"/>
      <c r="ELQ48" s="47"/>
      <c r="ELR48" s="48"/>
      <c r="ELS48" s="47"/>
      <c r="ELT48" s="62"/>
      <c r="ELU48" s="47"/>
      <c r="ELV48" s="48"/>
      <c r="ELW48" s="47"/>
      <c r="ELX48" s="62"/>
      <c r="ELY48" s="47"/>
      <c r="ELZ48" s="48"/>
      <c r="EMA48" s="47"/>
      <c r="EMB48" s="62"/>
      <c r="EMC48" s="47"/>
      <c r="EMD48" s="48"/>
      <c r="EME48" s="47"/>
      <c r="EMF48" s="62"/>
      <c r="EMG48" s="47"/>
      <c r="EMH48" s="48"/>
      <c r="EMI48" s="47"/>
      <c r="EMJ48" s="62"/>
      <c r="EMK48" s="47"/>
      <c r="EML48" s="48"/>
      <c r="EMM48" s="47"/>
      <c r="EMN48" s="62"/>
      <c r="EMO48" s="47"/>
      <c r="EMP48" s="48"/>
      <c r="EMQ48" s="47"/>
      <c r="EMR48" s="62"/>
      <c r="EMS48" s="47"/>
      <c r="EMT48" s="48"/>
      <c r="EMU48" s="47"/>
      <c r="EMV48" s="62"/>
      <c r="EMW48" s="47"/>
      <c r="EMX48" s="48"/>
      <c r="EMY48" s="47"/>
      <c r="EMZ48" s="62"/>
      <c r="ENA48" s="47"/>
      <c r="ENB48" s="48"/>
      <c r="ENC48" s="47"/>
      <c r="END48" s="62"/>
      <c r="ENE48" s="47"/>
      <c r="ENF48" s="48"/>
      <c r="ENG48" s="47"/>
      <c r="ENH48" s="62"/>
      <c r="ENI48" s="47"/>
      <c r="ENJ48" s="48"/>
      <c r="ENK48" s="47"/>
      <c r="ENL48" s="62"/>
      <c r="ENM48" s="47"/>
      <c r="ENN48" s="48"/>
      <c r="ENO48" s="47"/>
      <c r="ENP48" s="62"/>
      <c r="ENQ48" s="47"/>
      <c r="ENR48" s="48"/>
      <c r="ENS48" s="47"/>
      <c r="ENT48" s="62"/>
      <c r="ENU48" s="47"/>
      <c r="ENV48" s="48"/>
      <c r="ENW48" s="47"/>
      <c r="ENX48" s="62"/>
      <c r="ENY48" s="47"/>
      <c r="ENZ48" s="48"/>
      <c r="EOA48" s="47"/>
      <c r="EOB48" s="62"/>
      <c r="EOC48" s="47"/>
      <c r="EOD48" s="48"/>
      <c r="EOE48" s="47"/>
      <c r="EOF48" s="62"/>
      <c r="EOG48" s="47"/>
      <c r="EOH48" s="48"/>
      <c r="EOI48" s="47"/>
      <c r="EOJ48" s="62"/>
      <c r="EOK48" s="47"/>
      <c r="EOL48" s="48"/>
      <c r="EOM48" s="47"/>
      <c r="EON48" s="62"/>
      <c r="EOO48" s="47"/>
      <c r="EOP48" s="48"/>
      <c r="EOQ48" s="47"/>
      <c r="EOR48" s="62"/>
      <c r="EOS48" s="47"/>
      <c r="EOT48" s="48"/>
      <c r="EOU48" s="47"/>
      <c r="EOV48" s="62"/>
      <c r="EOW48" s="47"/>
      <c r="EOX48" s="48"/>
      <c r="EOY48" s="47"/>
      <c r="EOZ48" s="62"/>
      <c r="EPA48" s="47"/>
      <c r="EPB48" s="48"/>
      <c r="EPC48" s="47"/>
      <c r="EPD48" s="62"/>
      <c r="EPE48" s="47"/>
      <c r="EPF48" s="48"/>
      <c r="EPG48" s="47"/>
      <c r="EPH48" s="62"/>
      <c r="EPI48" s="47"/>
      <c r="EPJ48" s="48"/>
      <c r="EPK48" s="47"/>
      <c r="EPL48" s="62"/>
      <c r="EPM48" s="47"/>
      <c r="EPN48" s="48"/>
      <c r="EPO48" s="47"/>
      <c r="EPP48" s="62"/>
      <c r="EPQ48" s="47"/>
      <c r="EPR48" s="48"/>
      <c r="EPS48" s="47"/>
      <c r="EPT48" s="62"/>
      <c r="EPU48" s="47"/>
      <c r="EPV48" s="48"/>
      <c r="EPW48" s="47"/>
      <c r="EPX48" s="62"/>
      <c r="EPY48" s="47"/>
      <c r="EPZ48" s="48"/>
      <c r="EQA48" s="47"/>
      <c r="EQB48" s="62"/>
      <c r="EQC48" s="47"/>
      <c r="EQD48" s="48"/>
      <c r="EQE48" s="47"/>
      <c r="EQF48" s="62"/>
      <c r="EQG48" s="47"/>
      <c r="EQH48" s="48"/>
      <c r="EQI48" s="47"/>
      <c r="EQJ48" s="62"/>
      <c r="EQK48" s="47"/>
      <c r="EQL48" s="48"/>
      <c r="EQM48" s="47"/>
      <c r="EQN48" s="62"/>
      <c r="EQO48" s="47"/>
      <c r="EQP48" s="48"/>
      <c r="EQQ48" s="47"/>
      <c r="EQR48" s="62"/>
      <c r="EQS48" s="47"/>
      <c r="EQT48" s="48"/>
      <c r="EQU48" s="47"/>
      <c r="EQV48" s="62"/>
      <c r="EQW48" s="47"/>
      <c r="EQX48" s="48"/>
      <c r="EQY48" s="47"/>
      <c r="EQZ48" s="62"/>
      <c r="ERA48" s="47"/>
      <c r="ERB48" s="48"/>
      <c r="ERC48" s="47"/>
      <c r="ERD48" s="62"/>
      <c r="ERE48" s="47"/>
      <c r="ERF48" s="48"/>
      <c r="ERG48" s="47"/>
      <c r="ERH48" s="62"/>
      <c r="ERI48" s="47"/>
      <c r="ERJ48" s="48"/>
      <c r="ERK48" s="47"/>
      <c r="ERL48" s="62"/>
      <c r="ERM48" s="47"/>
      <c r="ERN48" s="48"/>
      <c r="ERO48" s="47"/>
      <c r="ERP48" s="62"/>
      <c r="ERQ48" s="47"/>
      <c r="ERR48" s="48"/>
      <c r="ERS48" s="47"/>
      <c r="ERT48" s="62"/>
      <c r="ERU48" s="47"/>
      <c r="ERV48" s="48"/>
      <c r="ERW48" s="47"/>
      <c r="ERX48" s="62"/>
      <c r="ERY48" s="47"/>
      <c r="ERZ48" s="48"/>
      <c r="ESA48" s="47"/>
      <c r="ESB48" s="62"/>
      <c r="ESC48" s="47"/>
      <c r="ESD48" s="48"/>
      <c r="ESE48" s="47"/>
      <c r="ESF48" s="62"/>
      <c r="ESG48" s="47"/>
      <c r="ESH48" s="48"/>
      <c r="ESI48" s="47"/>
      <c r="ESJ48" s="62"/>
      <c r="ESK48" s="47"/>
      <c r="ESL48" s="48"/>
      <c r="ESM48" s="47"/>
      <c r="ESN48" s="62"/>
      <c r="ESO48" s="47"/>
      <c r="ESP48" s="48"/>
      <c r="ESQ48" s="47"/>
      <c r="ESR48" s="62"/>
      <c r="ESS48" s="47"/>
      <c r="EST48" s="48"/>
      <c r="ESU48" s="47"/>
      <c r="ESV48" s="62"/>
      <c r="ESW48" s="47"/>
      <c r="ESX48" s="48"/>
      <c r="ESY48" s="47"/>
      <c r="ESZ48" s="62"/>
      <c r="ETA48" s="47"/>
      <c r="ETB48" s="48"/>
      <c r="ETC48" s="47"/>
      <c r="ETD48" s="62"/>
      <c r="ETE48" s="47"/>
      <c r="ETF48" s="48"/>
      <c r="ETG48" s="47"/>
      <c r="ETH48" s="62"/>
      <c r="ETI48" s="47"/>
      <c r="ETJ48" s="48"/>
      <c r="ETK48" s="47"/>
      <c r="ETL48" s="62"/>
      <c r="ETM48" s="47"/>
      <c r="ETN48" s="48"/>
      <c r="ETO48" s="47"/>
      <c r="ETP48" s="62"/>
      <c r="ETQ48" s="47"/>
      <c r="ETR48" s="48"/>
      <c r="ETS48" s="47"/>
      <c r="ETT48" s="62"/>
      <c r="ETU48" s="47"/>
      <c r="ETV48" s="48"/>
      <c r="ETW48" s="47"/>
      <c r="ETX48" s="62"/>
      <c r="ETY48" s="47"/>
      <c r="ETZ48" s="48"/>
      <c r="EUA48" s="47"/>
      <c r="EUB48" s="62"/>
      <c r="EUC48" s="47"/>
      <c r="EUD48" s="48"/>
      <c r="EUE48" s="47"/>
      <c r="EUF48" s="62"/>
      <c r="EUG48" s="47"/>
      <c r="EUH48" s="48"/>
      <c r="EUI48" s="47"/>
      <c r="EUJ48" s="62"/>
      <c r="EUK48" s="47"/>
      <c r="EUL48" s="48"/>
      <c r="EUM48" s="47"/>
      <c r="EUN48" s="62"/>
      <c r="EUO48" s="47"/>
      <c r="EUP48" s="48"/>
      <c r="EUQ48" s="47"/>
      <c r="EUR48" s="62"/>
      <c r="EUS48" s="47"/>
      <c r="EUT48" s="48"/>
      <c r="EUU48" s="47"/>
      <c r="EUV48" s="62"/>
      <c r="EUW48" s="47"/>
      <c r="EUX48" s="48"/>
      <c r="EUY48" s="47"/>
      <c r="EUZ48" s="62"/>
      <c r="EVA48" s="47"/>
      <c r="EVB48" s="48"/>
      <c r="EVC48" s="47"/>
      <c r="EVD48" s="62"/>
      <c r="EVE48" s="47"/>
      <c r="EVF48" s="48"/>
      <c r="EVG48" s="47"/>
      <c r="EVH48" s="62"/>
      <c r="EVI48" s="47"/>
      <c r="EVJ48" s="48"/>
      <c r="EVK48" s="47"/>
      <c r="EVL48" s="62"/>
      <c r="EVM48" s="47"/>
      <c r="EVN48" s="48"/>
      <c r="EVO48" s="47"/>
      <c r="EVP48" s="62"/>
      <c r="EVQ48" s="47"/>
      <c r="EVR48" s="48"/>
      <c r="EVS48" s="47"/>
      <c r="EVT48" s="62"/>
      <c r="EVU48" s="47"/>
      <c r="EVV48" s="48"/>
      <c r="EVW48" s="47"/>
      <c r="EVX48" s="62"/>
      <c r="EVY48" s="47"/>
      <c r="EVZ48" s="48"/>
      <c r="EWA48" s="47"/>
      <c r="EWB48" s="62"/>
      <c r="EWC48" s="47"/>
      <c r="EWD48" s="48"/>
      <c r="EWE48" s="47"/>
      <c r="EWF48" s="62"/>
      <c r="EWG48" s="47"/>
      <c r="EWH48" s="48"/>
      <c r="EWI48" s="47"/>
      <c r="EWJ48" s="62"/>
      <c r="EWK48" s="47"/>
      <c r="EWL48" s="48"/>
      <c r="EWM48" s="47"/>
      <c r="EWN48" s="62"/>
      <c r="EWO48" s="47"/>
      <c r="EWP48" s="48"/>
      <c r="EWQ48" s="47"/>
      <c r="EWR48" s="62"/>
      <c r="EWS48" s="47"/>
      <c r="EWT48" s="48"/>
      <c r="EWU48" s="47"/>
      <c r="EWV48" s="62"/>
      <c r="EWW48" s="47"/>
      <c r="EWX48" s="48"/>
      <c r="EWY48" s="47"/>
      <c r="EWZ48" s="62"/>
      <c r="EXA48" s="47"/>
      <c r="EXB48" s="48"/>
      <c r="EXC48" s="47"/>
      <c r="EXD48" s="62"/>
      <c r="EXE48" s="47"/>
      <c r="EXF48" s="48"/>
      <c r="EXG48" s="47"/>
      <c r="EXH48" s="62"/>
      <c r="EXI48" s="47"/>
      <c r="EXJ48" s="48"/>
      <c r="EXK48" s="47"/>
      <c r="EXL48" s="62"/>
      <c r="EXM48" s="47"/>
      <c r="EXN48" s="48"/>
      <c r="EXO48" s="47"/>
      <c r="EXP48" s="62"/>
      <c r="EXQ48" s="47"/>
      <c r="EXR48" s="48"/>
      <c r="EXS48" s="47"/>
      <c r="EXT48" s="62"/>
      <c r="EXU48" s="47"/>
      <c r="EXV48" s="48"/>
      <c r="EXW48" s="47"/>
      <c r="EXX48" s="62"/>
      <c r="EXY48" s="47"/>
      <c r="EXZ48" s="48"/>
      <c r="EYA48" s="47"/>
      <c r="EYB48" s="62"/>
      <c r="EYC48" s="47"/>
      <c r="EYD48" s="48"/>
      <c r="EYE48" s="47"/>
      <c r="EYF48" s="62"/>
      <c r="EYG48" s="47"/>
      <c r="EYH48" s="48"/>
      <c r="EYI48" s="47"/>
      <c r="EYJ48" s="62"/>
      <c r="EYK48" s="47"/>
      <c r="EYL48" s="48"/>
      <c r="EYM48" s="47"/>
      <c r="EYN48" s="62"/>
      <c r="EYO48" s="47"/>
      <c r="EYP48" s="48"/>
      <c r="EYQ48" s="47"/>
      <c r="EYR48" s="62"/>
      <c r="EYS48" s="47"/>
      <c r="EYT48" s="48"/>
      <c r="EYU48" s="47"/>
      <c r="EYV48" s="62"/>
      <c r="EYW48" s="47"/>
      <c r="EYX48" s="48"/>
      <c r="EYY48" s="47"/>
      <c r="EYZ48" s="62"/>
      <c r="EZA48" s="47"/>
      <c r="EZB48" s="48"/>
      <c r="EZC48" s="47"/>
      <c r="EZD48" s="62"/>
      <c r="EZE48" s="47"/>
      <c r="EZF48" s="48"/>
      <c r="EZG48" s="47"/>
      <c r="EZH48" s="62"/>
      <c r="EZI48" s="47"/>
      <c r="EZJ48" s="48"/>
      <c r="EZK48" s="47"/>
      <c r="EZL48" s="62"/>
      <c r="EZM48" s="47"/>
      <c r="EZN48" s="48"/>
      <c r="EZO48" s="47"/>
      <c r="EZP48" s="62"/>
      <c r="EZQ48" s="47"/>
      <c r="EZR48" s="48"/>
      <c r="EZS48" s="47"/>
      <c r="EZT48" s="62"/>
      <c r="EZU48" s="47"/>
      <c r="EZV48" s="48"/>
      <c r="EZW48" s="47"/>
      <c r="EZX48" s="62"/>
      <c r="EZY48" s="47"/>
      <c r="EZZ48" s="48"/>
      <c r="FAA48" s="47"/>
      <c r="FAB48" s="62"/>
      <c r="FAC48" s="47"/>
      <c r="FAD48" s="48"/>
      <c r="FAE48" s="47"/>
      <c r="FAF48" s="62"/>
      <c r="FAG48" s="47"/>
      <c r="FAH48" s="48"/>
      <c r="FAI48" s="47"/>
      <c r="FAJ48" s="62"/>
      <c r="FAK48" s="47"/>
      <c r="FAL48" s="48"/>
      <c r="FAM48" s="47"/>
      <c r="FAN48" s="62"/>
      <c r="FAO48" s="47"/>
      <c r="FAP48" s="48"/>
      <c r="FAQ48" s="47"/>
      <c r="FAR48" s="62"/>
      <c r="FAS48" s="47"/>
      <c r="FAT48" s="48"/>
      <c r="FAU48" s="47"/>
      <c r="FAV48" s="62"/>
      <c r="FAW48" s="47"/>
      <c r="FAX48" s="48"/>
      <c r="FAY48" s="47"/>
      <c r="FAZ48" s="62"/>
      <c r="FBA48" s="47"/>
      <c r="FBB48" s="48"/>
      <c r="FBC48" s="47"/>
      <c r="FBD48" s="62"/>
      <c r="FBE48" s="47"/>
      <c r="FBF48" s="48"/>
      <c r="FBG48" s="47"/>
      <c r="FBH48" s="62"/>
      <c r="FBI48" s="47"/>
      <c r="FBJ48" s="48"/>
      <c r="FBK48" s="47"/>
      <c r="FBL48" s="62"/>
      <c r="FBM48" s="47"/>
      <c r="FBN48" s="48"/>
      <c r="FBO48" s="47"/>
      <c r="FBP48" s="62"/>
      <c r="FBQ48" s="47"/>
      <c r="FBR48" s="48"/>
      <c r="FBS48" s="47"/>
      <c r="FBT48" s="62"/>
      <c r="FBU48" s="47"/>
      <c r="FBV48" s="48"/>
      <c r="FBW48" s="47"/>
      <c r="FBX48" s="62"/>
      <c r="FBY48" s="47"/>
      <c r="FBZ48" s="48"/>
      <c r="FCA48" s="47"/>
      <c r="FCB48" s="62"/>
      <c r="FCC48" s="47"/>
      <c r="FCD48" s="48"/>
      <c r="FCE48" s="47"/>
      <c r="FCF48" s="62"/>
      <c r="FCG48" s="47"/>
      <c r="FCH48" s="48"/>
      <c r="FCI48" s="47"/>
      <c r="FCJ48" s="62"/>
      <c r="FCK48" s="47"/>
      <c r="FCL48" s="48"/>
      <c r="FCM48" s="47"/>
      <c r="FCN48" s="62"/>
      <c r="FCO48" s="47"/>
      <c r="FCP48" s="48"/>
      <c r="FCQ48" s="47"/>
      <c r="FCR48" s="62"/>
      <c r="FCS48" s="47"/>
      <c r="FCT48" s="48"/>
      <c r="FCU48" s="47"/>
      <c r="FCV48" s="62"/>
      <c r="FCW48" s="47"/>
      <c r="FCX48" s="48"/>
      <c r="FCY48" s="47"/>
      <c r="FCZ48" s="62"/>
      <c r="FDA48" s="47"/>
      <c r="FDB48" s="48"/>
      <c r="FDC48" s="47"/>
      <c r="FDD48" s="62"/>
      <c r="FDE48" s="47"/>
      <c r="FDF48" s="48"/>
      <c r="FDG48" s="47"/>
      <c r="FDH48" s="62"/>
      <c r="FDI48" s="47"/>
      <c r="FDJ48" s="48"/>
      <c r="FDK48" s="47"/>
      <c r="FDL48" s="62"/>
      <c r="FDM48" s="47"/>
      <c r="FDN48" s="48"/>
      <c r="FDO48" s="47"/>
      <c r="FDP48" s="62"/>
      <c r="FDQ48" s="47"/>
      <c r="FDR48" s="48"/>
      <c r="FDS48" s="47"/>
      <c r="FDT48" s="62"/>
      <c r="FDU48" s="47"/>
      <c r="FDV48" s="48"/>
      <c r="FDW48" s="47"/>
      <c r="FDX48" s="62"/>
      <c r="FDY48" s="47"/>
      <c r="FDZ48" s="48"/>
      <c r="FEA48" s="47"/>
      <c r="FEB48" s="62"/>
      <c r="FEC48" s="47"/>
      <c r="FED48" s="48"/>
      <c r="FEE48" s="47"/>
      <c r="FEF48" s="62"/>
      <c r="FEG48" s="47"/>
      <c r="FEH48" s="48"/>
      <c r="FEI48" s="47"/>
      <c r="FEJ48" s="62"/>
      <c r="FEK48" s="47"/>
      <c r="FEL48" s="48"/>
      <c r="FEM48" s="47"/>
      <c r="FEN48" s="62"/>
      <c r="FEO48" s="47"/>
      <c r="FEP48" s="48"/>
      <c r="FEQ48" s="47"/>
      <c r="FER48" s="62"/>
      <c r="FES48" s="47"/>
      <c r="FET48" s="48"/>
      <c r="FEU48" s="47"/>
      <c r="FEV48" s="62"/>
      <c r="FEW48" s="47"/>
      <c r="FEX48" s="48"/>
      <c r="FEY48" s="47"/>
      <c r="FEZ48" s="62"/>
      <c r="FFA48" s="47"/>
      <c r="FFB48" s="48"/>
      <c r="FFC48" s="47"/>
      <c r="FFD48" s="62"/>
      <c r="FFE48" s="47"/>
      <c r="FFF48" s="48"/>
      <c r="FFG48" s="47"/>
      <c r="FFH48" s="62"/>
      <c r="FFI48" s="47"/>
      <c r="FFJ48" s="48"/>
      <c r="FFK48" s="47"/>
      <c r="FFL48" s="62"/>
      <c r="FFM48" s="47"/>
      <c r="FFN48" s="48"/>
      <c r="FFO48" s="47"/>
      <c r="FFP48" s="62"/>
      <c r="FFQ48" s="47"/>
      <c r="FFR48" s="48"/>
      <c r="FFS48" s="47"/>
      <c r="FFT48" s="62"/>
      <c r="FFU48" s="47"/>
      <c r="FFV48" s="48"/>
      <c r="FFW48" s="47"/>
      <c r="FFX48" s="62"/>
      <c r="FFY48" s="47"/>
      <c r="FFZ48" s="48"/>
      <c r="FGA48" s="47"/>
      <c r="FGB48" s="62"/>
      <c r="FGC48" s="47"/>
      <c r="FGD48" s="48"/>
      <c r="FGE48" s="47"/>
      <c r="FGF48" s="62"/>
      <c r="FGG48" s="47"/>
      <c r="FGH48" s="48"/>
      <c r="FGI48" s="47"/>
      <c r="FGJ48" s="62"/>
      <c r="FGK48" s="47"/>
      <c r="FGL48" s="48"/>
      <c r="FGM48" s="47"/>
      <c r="FGN48" s="62"/>
      <c r="FGO48" s="47"/>
      <c r="FGP48" s="48"/>
      <c r="FGQ48" s="47"/>
      <c r="FGR48" s="62"/>
      <c r="FGS48" s="47"/>
      <c r="FGT48" s="48"/>
      <c r="FGU48" s="47"/>
      <c r="FGV48" s="62"/>
      <c r="FGW48" s="47"/>
      <c r="FGX48" s="48"/>
      <c r="FGY48" s="47"/>
      <c r="FGZ48" s="62"/>
      <c r="FHA48" s="47"/>
      <c r="FHB48" s="48"/>
      <c r="FHC48" s="47"/>
      <c r="FHD48" s="62"/>
      <c r="FHE48" s="47"/>
      <c r="FHF48" s="48"/>
      <c r="FHG48" s="47"/>
      <c r="FHH48" s="62"/>
      <c r="FHI48" s="47"/>
      <c r="FHJ48" s="48"/>
      <c r="FHK48" s="47"/>
      <c r="FHL48" s="62"/>
      <c r="FHM48" s="47"/>
      <c r="FHN48" s="48"/>
      <c r="FHO48" s="47"/>
      <c r="FHP48" s="62"/>
      <c r="FHQ48" s="47"/>
      <c r="FHR48" s="48"/>
      <c r="FHS48" s="47"/>
      <c r="FHT48" s="62"/>
      <c r="FHU48" s="47"/>
      <c r="FHV48" s="48"/>
      <c r="FHW48" s="47"/>
      <c r="FHX48" s="62"/>
      <c r="FHY48" s="47"/>
      <c r="FHZ48" s="48"/>
      <c r="FIA48" s="47"/>
      <c r="FIB48" s="62"/>
      <c r="FIC48" s="47"/>
      <c r="FID48" s="48"/>
      <c r="FIE48" s="47"/>
      <c r="FIF48" s="62"/>
      <c r="FIG48" s="47"/>
      <c r="FIH48" s="48"/>
      <c r="FII48" s="47"/>
      <c r="FIJ48" s="62"/>
      <c r="FIK48" s="47"/>
      <c r="FIL48" s="48"/>
      <c r="FIM48" s="47"/>
      <c r="FIN48" s="62"/>
      <c r="FIO48" s="47"/>
      <c r="FIP48" s="48"/>
      <c r="FIQ48" s="47"/>
      <c r="FIR48" s="62"/>
      <c r="FIS48" s="47"/>
      <c r="FIT48" s="48"/>
      <c r="FIU48" s="47"/>
      <c r="FIV48" s="62"/>
      <c r="FIW48" s="47"/>
      <c r="FIX48" s="48"/>
      <c r="FIY48" s="47"/>
      <c r="FIZ48" s="62"/>
      <c r="FJA48" s="47"/>
      <c r="FJB48" s="48"/>
      <c r="FJC48" s="47"/>
      <c r="FJD48" s="62"/>
      <c r="FJE48" s="47"/>
      <c r="FJF48" s="48"/>
      <c r="FJG48" s="47"/>
      <c r="FJH48" s="62"/>
      <c r="FJI48" s="47"/>
      <c r="FJJ48" s="48"/>
      <c r="FJK48" s="47"/>
      <c r="FJL48" s="62"/>
      <c r="FJM48" s="47"/>
      <c r="FJN48" s="48"/>
      <c r="FJO48" s="47"/>
      <c r="FJP48" s="62"/>
      <c r="FJQ48" s="47"/>
      <c r="FJR48" s="48"/>
      <c r="FJS48" s="47"/>
      <c r="FJT48" s="62"/>
      <c r="FJU48" s="47"/>
      <c r="FJV48" s="48"/>
      <c r="FJW48" s="47"/>
      <c r="FJX48" s="62"/>
      <c r="FJY48" s="47"/>
      <c r="FJZ48" s="48"/>
      <c r="FKA48" s="47"/>
      <c r="FKB48" s="62"/>
      <c r="FKC48" s="47"/>
      <c r="FKD48" s="48"/>
      <c r="FKE48" s="47"/>
      <c r="FKF48" s="62"/>
      <c r="FKG48" s="47"/>
      <c r="FKH48" s="48"/>
      <c r="FKI48" s="47"/>
      <c r="FKJ48" s="62"/>
      <c r="FKK48" s="47"/>
      <c r="FKL48" s="48"/>
      <c r="FKM48" s="47"/>
      <c r="FKN48" s="62"/>
      <c r="FKO48" s="47"/>
      <c r="FKP48" s="48"/>
      <c r="FKQ48" s="47"/>
      <c r="FKR48" s="62"/>
      <c r="FKS48" s="47"/>
      <c r="FKT48" s="48"/>
      <c r="FKU48" s="47"/>
      <c r="FKV48" s="62"/>
      <c r="FKW48" s="47"/>
      <c r="FKX48" s="48"/>
      <c r="FKY48" s="47"/>
      <c r="FKZ48" s="62"/>
      <c r="FLA48" s="47"/>
      <c r="FLB48" s="48"/>
      <c r="FLC48" s="47"/>
      <c r="FLD48" s="62"/>
      <c r="FLE48" s="47"/>
      <c r="FLF48" s="48"/>
      <c r="FLG48" s="47"/>
      <c r="FLH48" s="62"/>
      <c r="FLI48" s="47"/>
      <c r="FLJ48" s="48"/>
      <c r="FLK48" s="47"/>
      <c r="FLL48" s="62"/>
      <c r="FLM48" s="47"/>
      <c r="FLN48" s="48"/>
      <c r="FLO48" s="47"/>
      <c r="FLP48" s="62"/>
      <c r="FLQ48" s="47"/>
      <c r="FLR48" s="48"/>
      <c r="FLS48" s="47"/>
      <c r="FLT48" s="62"/>
      <c r="FLU48" s="47"/>
      <c r="FLV48" s="48"/>
      <c r="FLW48" s="47"/>
      <c r="FLX48" s="62"/>
      <c r="FLY48" s="47"/>
      <c r="FLZ48" s="48"/>
      <c r="FMA48" s="47"/>
      <c r="FMB48" s="62"/>
      <c r="FMC48" s="47"/>
      <c r="FMD48" s="48"/>
      <c r="FME48" s="47"/>
      <c r="FMF48" s="62"/>
      <c r="FMG48" s="47"/>
      <c r="FMH48" s="48"/>
      <c r="FMI48" s="47"/>
      <c r="FMJ48" s="62"/>
      <c r="FMK48" s="47"/>
      <c r="FML48" s="48"/>
      <c r="FMM48" s="47"/>
      <c r="FMN48" s="62"/>
      <c r="FMO48" s="47"/>
      <c r="FMP48" s="48"/>
      <c r="FMQ48" s="47"/>
      <c r="FMR48" s="62"/>
      <c r="FMS48" s="47"/>
      <c r="FMT48" s="48"/>
      <c r="FMU48" s="47"/>
      <c r="FMV48" s="62"/>
      <c r="FMW48" s="47"/>
      <c r="FMX48" s="48"/>
      <c r="FMY48" s="47"/>
      <c r="FMZ48" s="62"/>
      <c r="FNA48" s="47"/>
      <c r="FNB48" s="48"/>
      <c r="FNC48" s="47"/>
      <c r="FND48" s="62"/>
      <c r="FNE48" s="47"/>
      <c r="FNF48" s="48"/>
      <c r="FNG48" s="47"/>
      <c r="FNH48" s="62"/>
      <c r="FNI48" s="47"/>
      <c r="FNJ48" s="48"/>
      <c r="FNK48" s="47"/>
      <c r="FNL48" s="62"/>
      <c r="FNM48" s="47"/>
      <c r="FNN48" s="48"/>
      <c r="FNO48" s="47"/>
      <c r="FNP48" s="62"/>
      <c r="FNQ48" s="47"/>
      <c r="FNR48" s="48"/>
      <c r="FNS48" s="47"/>
      <c r="FNT48" s="62"/>
      <c r="FNU48" s="47"/>
      <c r="FNV48" s="48"/>
      <c r="FNW48" s="47"/>
      <c r="FNX48" s="62"/>
      <c r="FNY48" s="47"/>
      <c r="FNZ48" s="48"/>
      <c r="FOA48" s="47"/>
      <c r="FOB48" s="62"/>
      <c r="FOC48" s="47"/>
      <c r="FOD48" s="48"/>
      <c r="FOE48" s="47"/>
      <c r="FOF48" s="62"/>
      <c r="FOG48" s="47"/>
      <c r="FOH48" s="48"/>
      <c r="FOI48" s="47"/>
      <c r="FOJ48" s="62"/>
      <c r="FOK48" s="47"/>
      <c r="FOL48" s="48"/>
      <c r="FOM48" s="47"/>
      <c r="FON48" s="62"/>
      <c r="FOO48" s="47"/>
      <c r="FOP48" s="48"/>
      <c r="FOQ48" s="47"/>
      <c r="FOR48" s="62"/>
      <c r="FOS48" s="47"/>
      <c r="FOT48" s="48"/>
      <c r="FOU48" s="47"/>
      <c r="FOV48" s="62"/>
      <c r="FOW48" s="47"/>
      <c r="FOX48" s="48"/>
      <c r="FOY48" s="47"/>
      <c r="FOZ48" s="62"/>
      <c r="FPA48" s="47"/>
      <c r="FPB48" s="48"/>
      <c r="FPC48" s="47"/>
      <c r="FPD48" s="62"/>
      <c r="FPE48" s="47"/>
      <c r="FPF48" s="48"/>
      <c r="FPG48" s="47"/>
      <c r="FPH48" s="62"/>
      <c r="FPI48" s="47"/>
      <c r="FPJ48" s="48"/>
      <c r="FPK48" s="47"/>
      <c r="FPL48" s="62"/>
      <c r="FPM48" s="47"/>
      <c r="FPN48" s="48"/>
      <c r="FPO48" s="47"/>
      <c r="FPP48" s="62"/>
      <c r="FPQ48" s="47"/>
      <c r="FPR48" s="48"/>
      <c r="FPS48" s="47"/>
      <c r="FPT48" s="62"/>
      <c r="FPU48" s="47"/>
      <c r="FPV48" s="48"/>
      <c r="FPW48" s="47"/>
      <c r="FPX48" s="62"/>
      <c r="FPY48" s="47"/>
      <c r="FPZ48" s="48"/>
      <c r="FQA48" s="47"/>
      <c r="FQB48" s="62"/>
      <c r="FQC48" s="47"/>
      <c r="FQD48" s="48"/>
      <c r="FQE48" s="47"/>
      <c r="FQF48" s="62"/>
      <c r="FQG48" s="47"/>
      <c r="FQH48" s="48"/>
      <c r="FQI48" s="47"/>
      <c r="FQJ48" s="62"/>
      <c r="FQK48" s="47"/>
      <c r="FQL48" s="48"/>
      <c r="FQM48" s="47"/>
      <c r="FQN48" s="62"/>
      <c r="FQO48" s="47"/>
      <c r="FQP48" s="48"/>
      <c r="FQQ48" s="47"/>
      <c r="FQR48" s="62"/>
      <c r="FQS48" s="47"/>
      <c r="FQT48" s="48"/>
      <c r="FQU48" s="47"/>
      <c r="FQV48" s="62"/>
      <c r="FQW48" s="47"/>
      <c r="FQX48" s="48"/>
      <c r="FQY48" s="47"/>
      <c r="FQZ48" s="62"/>
      <c r="FRA48" s="47"/>
      <c r="FRB48" s="48"/>
      <c r="FRC48" s="47"/>
      <c r="FRD48" s="62"/>
      <c r="FRE48" s="47"/>
      <c r="FRF48" s="48"/>
      <c r="FRG48" s="47"/>
      <c r="FRH48" s="62"/>
      <c r="FRI48" s="47"/>
      <c r="FRJ48" s="48"/>
      <c r="FRK48" s="47"/>
      <c r="FRL48" s="62"/>
      <c r="FRM48" s="47"/>
      <c r="FRN48" s="48"/>
      <c r="FRO48" s="47"/>
      <c r="FRP48" s="62"/>
      <c r="FRQ48" s="47"/>
      <c r="FRR48" s="48"/>
      <c r="FRS48" s="47"/>
      <c r="FRT48" s="62"/>
      <c r="FRU48" s="47"/>
      <c r="FRV48" s="48"/>
      <c r="FRW48" s="47"/>
      <c r="FRX48" s="62"/>
      <c r="FRY48" s="47"/>
      <c r="FRZ48" s="48"/>
      <c r="FSA48" s="47"/>
      <c r="FSB48" s="62"/>
      <c r="FSC48" s="47"/>
      <c r="FSD48" s="48"/>
      <c r="FSE48" s="47"/>
      <c r="FSF48" s="62"/>
      <c r="FSG48" s="47"/>
      <c r="FSH48" s="48"/>
      <c r="FSI48" s="47"/>
      <c r="FSJ48" s="62"/>
      <c r="FSK48" s="47"/>
      <c r="FSL48" s="48"/>
      <c r="FSM48" s="47"/>
      <c r="FSN48" s="62"/>
      <c r="FSO48" s="47"/>
      <c r="FSP48" s="48"/>
      <c r="FSQ48" s="47"/>
      <c r="FSR48" s="62"/>
      <c r="FSS48" s="47"/>
      <c r="FST48" s="48"/>
      <c r="FSU48" s="47"/>
      <c r="FSV48" s="62"/>
      <c r="FSW48" s="47"/>
      <c r="FSX48" s="48"/>
      <c r="FSY48" s="47"/>
      <c r="FSZ48" s="62"/>
      <c r="FTA48" s="47"/>
      <c r="FTB48" s="48"/>
      <c r="FTC48" s="47"/>
      <c r="FTD48" s="62"/>
      <c r="FTE48" s="47"/>
      <c r="FTF48" s="48"/>
      <c r="FTG48" s="47"/>
      <c r="FTH48" s="62"/>
      <c r="FTI48" s="47"/>
      <c r="FTJ48" s="48"/>
      <c r="FTK48" s="47"/>
      <c r="FTL48" s="62"/>
      <c r="FTM48" s="47"/>
      <c r="FTN48" s="48"/>
      <c r="FTO48" s="47"/>
      <c r="FTP48" s="62"/>
      <c r="FTQ48" s="47"/>
      <c r="FTR48" s="48"/>
      <c r="FTS48" s="47"/>
      <c r="FTT48" s="62"/>
      <c r="FTU48" s="47"/>
      <c r="FTV48" s="48"/>
      <c r="FTW48" s="47"/>
      <c r="FTX48" s="62"/>
      <c r="FTY48" s="47"/>
      <c r="FTZ48" s="48"/>
      <c r="FUA48" s="47"/>
      <c r="FUB48" s="62"/>
      <c r="FUC48" s="47"/>
      <c r="FUD48" s="48"/>
      <c r="FUE48" s="47"/>
      <c r="FUF48" s="62"/>
      <c r="FUG48" s="47"/>
      <c r="FUH48" s="48"/>
      <c r="FUI48" s="47"/>
      <c r="FUJ48" s="62"/>
      <c r="FUK48" s="47"/>
      <c r="FUL48" s="48"/>
      <c r="FUM48" s="47"/>
      <c r="FUN48" s="62"/>
      <c r="FUO48" s="47"/>
      <c r="FUP48" s="48"/>
      <c r="FUQ48" s="47"/>
      <c r="FUR48" s="62"/>
      <c r="FUS48" s="47"/>
      <c r="FUT48" s="48"/>
      <c r="FUU48" s="47"/>
      <c r="FUV48" s="62"/>
      <c r="FUW48" s="47"/>
      <c r="FUX48" s="48"/>
      <c r="FUY48" s="47"/>
      <c r="FUZ48" s="62"/>
      <c r="FVA48" s="47"/>
      <c r="FVB48" s="48"/>
      <c r="FVC48" s="47"/>
      <c r="FVD48" s="62"/>
      <c r="FVE48" s="47"/>
      <c r="FVF48" s="48"/>
      <c r="FVG48" s="47"/>
      <c r="FVH48" s="62"/>
      <c r="FVI48" s="47"/>
      <c r="FVJ48" s="48"/>
      <c r="FVK48" s="47"/>
      <c r="FVL48" s="62"/>
      <c r="FVM48" s="47"/>
      <c r="FVN48" s="48"/>
      <c r="FVO48" s="47"/>
      <c r="FVP48" s="62"/>
      <c r="FVQ48" s="47"/>
      <c r="FVR48" s="48"/>
      <c r="FVS48" s="47"/>
      <c r="FVT48" s="62"/>
      <c r="FVU48" s="47"/>
      <c r="FVV48" s="48"/>
      <c r="FVW48" s="47"/>
      <c r="FVX48" s="62"/>
      <c r="FVY48" s="47"/>
      <c r="FVZ48" s="48"/>
      <c r="FWA48" s="47"/>
      <c r="FWB48" s="62"/>
      <c r="FWC48" s="47"/>
      <c r="FWD48" s="48"/>
      <c r="FWE48" s="47"/>
      <c r="FWF48" s="62"/>
      <c r="FWG48" s="47"/>
      <c r="FWH48" s="48"/>
      <c r="FWI48" s="47"/>
      <c r="FWJ48" s="62"/>
      <c r="FWK48" s="47"/>
      <c r="FWL48" s="48"/>
      <c r="FWM48" s="47"/>
      <c r="FWN48" s="62"/>
      <c r="FWO48" s="47"/>
      <c r="FWP48" s="48"/>
      <c r="FWQ48" s="47"/>
      <c r="FWR48" s="62"/>
      <c r="FWS48" s="47"/>
      <c r="FWT48" s="48"/>
      <c r="FWU48" s="47"/>
      <c r="FWV48" s="62"/>
      <c r="FWW48" s="47"/>
      <c r="FWX48" s="48"/>
      <c r="FWY48" s="47"/>
      <c r="FWZ48" s="62"/>
      <c r="FXA48" s="47"/>
      <c r="FXB48" s="48"/>
      <c r="FXC48" s="47"/>
      <c r="FXD48" s="62"/>
      <c r="FXE48" s="47"/>
      <c r="FXF48" s="48"/>
      <c r="FXG48" s="47"/>
      <c r="FXH48" s="62"/>
      <c r="FXI48" s="47"/>
      <c r="FXJ48" s="48"/>
      <c r="FXK48" s="47"/>
      <c r="FXL48" s="62"/>
      <c r="FXM48" s="47"/>
      <c r="FXN48" s="48"/>
      <c r="FXO48" s="47"/>
      <c r="FXP48" s="62"/>
      <c r="FXQ48" s="47"/>
      <c r="FXR48" s="48"/>
      <c r="FXS48" s="47"/>
      <c r="FXT48" s="62"/>
      <c r="FXU48" s="47"/>
      <c r="FXV48" s="48"/>
      <c r="FXW48" s="47"/>
      <c r="FXX48" s="62"/>
      <c r="FXY48" s="47"/>
      <c r="FXZ48" s="48"/>
      <c r="FYA48" s="47"/>
      <c r="FYB48" s="62"/>
      <c r="FYC48" s="47"/>
      <c r="FYD48" s="48"/>
      <c r="FYE48" s="47"/>
      <c r="FYF48" s="62"/>
      <c r="FYG48" s="47"/>
      <c r="FYH48" s="48"/>
      <c r="FYI48" s="47"/>
      <c r="FYJ48" s="62"/>
      <c r="FYK48" s="47"/>
      <c r="FYL48" s="48"/>
      <c r="FYM48" s="47"/>
      <c r="FYN48" s="62"/>
      <c r="FYO48" s="47"/>
      <c r="FYP48" s="48"/>
      <c r="FYQ48" s="47"/>
      <c r="FYR48" s="62"/>
      <c r="FYS48" s="47"/>
      <c r="FYT48" s="48"/>
      <c r="FYU48" s="47"/>
      <c r="FYV48" s="62"/>
      <c r="FYW48" s="47"/>
      <c r="FYX48" s="48"/>
      <c r="FYY48" s="47"/>
      <c r="FYZ48" s="62"/>
      <c r="FZA48" s="47"/>
      <c r="FZB48" s="48"/>
      <c r="FZC48" s="47"/>
      <c r="FZD48" s="62"/>
      <c r="FZE48" s="47"/>
      <c r="FZF48" s="48"/>
      <c r="FZG48" s="47"/>
      <c r="FZH48" s="62"/>
      <c r="FZI48" s="47"/>
      <c r="FZJ48" s="48"/>
      <c r="FZK48" s="47"/>
      <c r="FZL48" s="62"/>
      <c r="FZM48" s="47"/>
      <c r="FZN48" s="48"/>
      <c r="FZO48" s="47"/>
      <c r="FZP48" s="62"/>
      <c r="FZQ48" s="47"/>
      <c r="FZR48" s="48"/>
      <c r="FZS48" s="47"/>
      <c r="FZT48" s="62"/>
      <c r="FZU48" s="47"/>
      <c r="FZV48" s="48"/>
      <c r="FZW48" s="47"/>
      <c r="FZX48" s="62"/>
      <c r="FZY48" s="47"/>
      <c r="FZZ48" s="48"/>
      <c r="GAA48" s="47"/>
      <c r="GAB48" s="62"/>
      <c r="GAC48" s="47"/>
      <c r="GAD48" s="48"/>
      <c r="GAE48" s="47"/>
      <c r="GAF48" s="62"/>
      <c r="GAG48" s="47"/>
      <c r="GAH48" s="48"/>
      <c r="GAI48" s="47"/>
      <c r="GAJ48" s="62"/>
      <c r="GAK48" s="47"/>
      <c r="GAL48" s="48"/>
      <c r="GAM48" s="47"/>
      <c r="GAN48" s="62"/>
      <c r="GAO48" s="47"/>
      <c r="GAP48" s="48"/>
      <c r="GAQ48" s="47"/>
      <c r="GAR48" s="62"/>
      <c r="GAS48" s="47"/>
      <c r="GAT48" s="48"/>
      <c r="GAU48" s="47"/>
      <c r="GAV48" s="62"/>
      <c r="GAW48" s="47"/>
      <c r="GAX48" s="48"/>
      <c r="GAY48" s="47"/>
      <c r="GAZ48" s="62"/>
      <c r="GBA48" s="47"/>
      <c r="GBB48" s="48"/>
      <c r="GBC48" s="47"/>
      <c r="GBD48" s="62"/>
      <c r="GBE48" s="47"/>
      <c r="GBF48" s="48"/>
      <c r="GBG48" s="47"/>
      <c r="GBH48" s="62"/>
      <c r="GBI48" s="47"/>
      <c r="GBJ48" s="48"/>
      <c r="GBK48" s="47"/>
      <c r="GBL48" s="62"/>
      <c r="GBM48" s="47"/>
      <c r="GBN48" s="48"/>
      <c r="GBO48" s="47"/>
      <c r="GBP48" s="62"/>
      <c r="GBQ48" s="47"/>
      <c r="GBR48" s="48"/>
      <c r="GBS48" s="47"/>
      <c r="GBT48" s="62"/>
      <c r="GBU48" s="47"/>
      <c r="GBV48" s="48"/>
      <c r="GBW48" s="47"/>
      <c r="GBX48" s="62"/>
      <c r="GBY48" s="47"/>
      <c r="GBZ48" s="48"/>
      <c r="GCA48" s="47"/>
      <c r="GCB48" s="62"/>
      <c r="GCC48" s="47"/>
      <c r="GCD48" s="48"/>
      <c r="GCE48" s="47"/>
      <c r="GCF48" s="62"/>
      <c r="GCG48" s="47"/>
      <c r="GCH48" s="48"/>
      <c r="GCI48" s="47"/>
      <c r="GCJ48" s="62"/>
      <c r="GCK48" s="47"/>
      <c r="GCL48" s="48"/>
      <c r="GCM48" s="47"/>
      <c r="GCN48" s="62"/>
      <c r="GCO48" s="47"/>
      <c r="GCP48" s="48"/>
      <c r="GCQ48" s="47"/>
      <c r="GCR48" s="62"/>
      <c r="GCS48" s="47"/>
      <c r="GCT48" s="48"/>
      <c r="GCU48" s="47"/>
      <c r="GCV48" s="62"/>
      <c r="GCW48" s="47"/>
      <c r="GCX48" s="48"/>
      <c r="GCY48" s="47"/>
      <c r="GCZ48" s="62"/>
      <c r="GDA48" s="47"/>
      <c r="GDB48" s="48"/>
      <c r="GDC48" s="47"/>
      <c r="GDD48" s="62"/>
      <c r="GDE48" s="47"/>
      <c r="GDF48" s="48"/>
      <c r="GDG48" s="47"/>
      <c r="GDH48" s="62"/>
      <c r="GDI48" s="47"/>
      <c r="GDJ48" s="48"/>
      <c r="GDK48" s="47"/>
      <c r="GDL48" s="62"/>
      <c r="GDM48" s="47"/>
      <c r="GDN48" s="48"/>
      <c r="GDO48" s="47"/>
      <c r="GDP48" s="62"/>
      <c r="GDQ48" s="47"/>
      <c r="GDR48" s="48"/>
      <c r="GDS48" s="47"/>
      <c r="GDT48" s="62"/>
      <c r="GDU48" s="47"/>
      <c r="GDV48" s="48"/>
      <c r="GDW48" s="47"/>
      <c r="GDX48" s="62"/>
      <c r="GDY48" s="47"/>
      <c r="GDZ48" s="48"/>
      <c r="GEA48" s="47"/>
      <c r="GEB48" s="62"/>
      <c r="GEC48" s="47"/>
      <c r="GED48" s="48"/>
      <c r="GEE48" s="47"/>
      <c r="GEF48" s="62"/>
      <c r="GEG48" s="47"/>
      <c r="GEH48" s="48"/>
      <c r="GEI48" s="47"/>
      <c r="GEJ48" s="62"/>
      <c r="GEK48" s="47"/>
      <c r="GEL48" s="48"/>
      <c r="GEM48" s="47"/>
      <c r="GEN48" s="62"/>
      <c r="GEO48" s="47"/>
      <c r="GEP48" s="48"/>
      <c r="GEQ48" s="47"/>
      <c r="GER48" s="62"/>
      <c r="GES48" s="47"/>
      <c r="GET48" s="48"/>
      <c r="GEU48" s="47"/>
      <c r="GEV48" s="62"/>
      <c r="GEW48" s="47"/>
      <c r="GEX48" s="48"/>
      <c r="GEY48" s="47"/>
      <c r="GEZ48" s="62"/>
      <c r="GFA48" s="47"/>
      <c r="GFB48" s="48"/>
      <c r="GFC48" s="47"/>
      <c r="GFD48" s="62"/>
      <c r="GFE48" s="47"/>
      <c r="GFF48" s="48"/>
      <c r="GFG48" s="47"/>
      <c r="GFH48" s="62"/>
      <c r="GFI48" s="47"/>
      <c r="GFJ48" s="48"/>
      <c r="GFK48" s="47"/>
      <c r="GFL48" s="62"/>
      <c r="GFM48" s="47"/>
      <c r="GFN48" s="48"/>
      <c r="GFO48" s="47"/>
      <c r="GFP48" s="62"/>
      <c r="GFQ48" s="47"/>
      <c r="GFR48" s="48"/>
      <c r="GFS48" s="47"/>
      <c r="GFT48" s="62"/>
      <c r="GFU48" s="47"/>
      <c r="GFV48" s="48"/>
      <c r="GFW48" s="47"/>
      <c r="GFX48" s="62"/>
      <c r="GFY48" s="47"/>
      <c r="GFZ48" s="48"/>
      <c r="GGA48" s="47"/>
      <c r="GGB48" s="62"/>
      <c r="GGC48" s="47"/>
      <c r="GGD48" s="48"/>
      <c r="GGE48" s="47"/>
      <c r="GGF48" s="62"/>
      <c r="GGG48" s="47"/>
      <c r="GGH48" s="48"/>
      <c r="GGI48" s="47"/>
      <c r="GGJ48" s="62"/>
      <c r="GGK48" s="47"/>
      <c r="GGL48" s="48"/>
      <c r="GGM48" s="47"/>
      <c r="GGN48" s="62"/>
      <c r="GGO48" s="47"/>
      <c r="GGP48" s="48"/>
      <c r="GGQ48" s="47"/>
      <c r="GGR48" s="62"/>
      <c r="GGS48" s="47"/>
      <c r="GGT48" s="48"/>
      <c r="GGU48" s="47"/>
      <c r="GGV48" s="62"/>
      <c r="GGW48" s="47"/>
      <c r="GGX48" s="48"/>
      <c r="GGY48" s="47"/>
      <c r="GGZ48" s="62"/>
      <c r="GHA48" s="47"/>
      <c r="GHB48" s="48"/>
      <c r="GHC48" s="47"/>
      <c r="GHD48" s="62"/>
      <c r="GHE48" s="47"/>
      <c r="GHF48" s="48"/>
      <c r="GHG48" s="47"/>
      <c r="GHH48" s="62"/>
      <c r="GHI48" s="47"/>
      <c r="GHJ48" s="48"/>
      <c r="GHK48" s="47"/>
      <c r="GHL48" s="62"/>
      <c r="GHM48" s="47"/>
      <c r="GHN48" s="48"/>
      <c r="GHO48" s="47"/>
      <c r="GHP48" s="62"/>
      <c r="GHQ48" s="47"/>
      <c r="GHR48" s="48"/>
      <c r="GHS48" s="47"/>
      <c r="GHT48" s="62"/>
      <c r="GHU48" s="47"/>
      <c r="GHV48" s="48"/>
      <c r="GHW48" s="47"/>
      <c r="GHX48" s="62"/>
      <c r="GHY48" s="47"/>
      <c r="GHZ48" s="48"/>
      <c r="GIA48" s="47"/>
      <c r="GIB48" s="62"/>
      <c r="GIC48" s="47"/>
      <c r="GID48" s="48"/>
      <c r="GIE48" s="47"/>
      <c r="GIF48" s="62"/>
      <c r="GIG48" s="47"/>
      <c r="GIH48" s="48"/>
      <c r="GII48" s="47"/>
      <c r="GIJ48" s="62"/>
      <c r="GIK48" s="47"/>
      <c r="GIL48" s="48"/>
      <c r="GIM48" s="47"/>
      <c r="GIN48" s="62"/>
      <c r="GIO48" s="47"/>
      <c r="GIP48" s="48"/>
      <c r="GIQ48" s="47"/>
      <c r="GIR48" s="62"/>
      <c r="GIS48" s="47"/>
      <c r="GIT48" s="48"/>
      <c r="GIU48" s="47"/>
      <c r="GIV48" s="62"/>
      <c r="GIW48" s="47"/>
      <c r="GIX48" s="48"/>
      <c r="GIY48" s="47"/>
      <c r="GIZ48" s="62"/>
      <c r="GJA48" s="47"/>
      <c r="GJB48" s="48"/>
      <c r="GJC48" s="47"/>
      <c r="GJD48" s="62"/>
      <c r="GJE48" s="47"/>
      <c r="GJF48" s="48"/>
      <c r="GJG48" s="47"/>
      <c r="GJH48" s="62"/>
      <c r="GJI48" s="47"/>
      <c r="GJJ48" s="48"/>
      <c r="GJK48" s="47"/>
      <c r="GJL48" s="62"/>
      <c r="GJM48" s="47"/>
      <c r="GJN48" s="48"/>
      <c r="GJO48" s="47"/>
      <c r="GJP48" s="62"/>
      <c r="GJQ48" s="47"/>
      <c r="GJR48" s="48"/>
      <c r="GJS48" s="47"/>
      <c r="GJT48" s="62"/>
      <c r="GJU48" s="47"/>
      <c r="GJV48" s="48"/>
      <c r="GJW48" s="47"/>
      <c r="GJX48" s="62"/>
      <c r="GJY48" s="47"/>
      <c r="GJZ48" s="48"/>
      <c r="GKA48" s="47"/>
      <c r="GKB48" s="62"/>
      <c r="GKC48" s="47"/>
      <c r="GKD48" s="48"/>
      <c r="GKE48" s="47"/>
      <c r="GKF48" s="62"/>
      <c r="GKG48" s="47"/>
      <c r="GKH48" s="48"/>
      <c r="GKI48" s="47"/>
      <c r="GKJ48" s="62"/>
      <c r="GKK48" s="47"/>
      <c r="GKL48" s="48"/>
      <c r="GKM48" s="47"/>
      <c r="GKN48" s="62"/>
      <c r="GKO48" s="47"/>
      <c r="GKP48" s="48"/>
      <c r="GKQ48" s="47"/>
      <c r="GKR48" s="62"/>
      <c r="GKS48" s="47"/>
      <c r="GKT48" s="48"/>
      <c r="GKU48" s="47"/>
      <c r="GKV48" s="62"/>
      <c r="GKW48" s="47"/>
      <c r="GKX48" s="48"/>
      <c r="GKY48" s="47"/>
      <c r="GKZ48" s="62"/>
      <c r="GLA48" s="47"/>
      <c r="GLB48" s="48"/>
      <c r="GLC48" s="47"/>
      <c r="GLD48" s="62"/>
      <c r="GLE48" s="47"/>
      <c r="GLF48" s="48"/>
      <c r="GLG48" s="47"/>
      <c r="GLH48" s="62"/>
      <c r="GLI48" s="47"/>
      <c r="GLJ48" s="48"/>
      <c r="GLK48" s="47"/>
      <c r="GLL48" s="62"/>
      <c r="GLM48" s="47"/>
      <c r="GLN48" s="48"/>
      <c r="GLO48" s="47"/>
      <c r="GLP48" s="62"/>
      <c r="GLQ48" s="47"/>
      <c r="GLR48" s="48"/>
      <c r="GLS48" s="47"/>
      <c r="GLT48" s="62"/>
      <c r="GLU48" s="47"/>
      <c r="GLV48" s="48"/>
      <c r="GLW48" s="47"/>
      <c r="GLX48" s="62"/>
      <c r="GLY48" s="47"/>
      <c r="GLZ48" s="48"/>
      <c r="GMA48" s="47"/>
      <c r="GMB48" s="62"/>
      <c r="GMC48" s="47"/>
      <c r="GMD48" s="48"/>
      <c r="GME48" s="47"/>
      <c r="GMF48" s="62"/>
      <c r="GMG48" s="47"/>
      <c r="GMH48" s="48"/>
      <c r="GMI48" s="47"/>
      <c r="GMJ48" s="62"/>
      <c r="GMK48" s="47"/>
      <c r="GML48" s="48"/>
      <c r="GMM48" s="47"/>
      <c r="GMN48" s="62"/>
      <c r="GMO48" s="47"/>
      <c r="GMP48" s="48"/>
      <c r="GMQ48" s="47"/>
      <c r="GMR48" s="62"/>
      <c r="GMS48" s="47"/>
      <c r="GMT48" s="48"/>
      <c r="GMU48" s="47"/>
      <c r="GMV48" s="62"/>
      <c r="GMW48" s="47"/>
      <c r="GMX48" s="48"/>
      <c r="GMY48" s="47"/>
      <c r="GMZ48" s="62"/>
      <c r="GNA48" s="47"/>
      <c r="GNB48" s="48"/>
      <c r="GNC48" s="47"/>
      <c r="GND48" s="62"/>
      <c r="GNE48" s="47"/>
      <c r="GNF48" s="48"/>
      <c r="GNG48" s="47"/>
      <c r="GNH48" s="62"/>
      <c r="GNI48" s="47"/>
      <c r="GNJ48" s="48"/>
      <c r="GNK48" s="47"/>
      <c r="GNL48" s="62"/>
      <c r="GNM48" s="47"/>
      <c r="GNN48" s="48"/>
      <c r="GNO48" s="47"/>
      <c r="GNP48" s="62"/>
      <c r="GNQ48" s="47"/>
      <c r="GNR48" s="48"/>
      <c r="GNS48" s="47"/>
      <c r="GNT48" s="62"/>
      <c r="GNU48" s="47"/>
      <c r="GNV48" s="48"/>
      <c r="GNW48" s="47"/>
      <c r="GNX48" s="62"/>
      <c r="GNY48" s="47"/>
      <c r="GNZ48" s="48"/>
      <c r="GOA48" s="47"/>
      <c r="GOB48" s="62"/>
      <c r="GOC48" s="47"/>
      <c r="GOD48" s="48"/>
      <c r="GOE48" s="47"/>
      <c r="GOF48" s="62"/>
      <c r="GOG48" s="47"/>
      <c r="GOH48" s="48"/>
      <c r="GOI48" s="47"/>
      <c r="GOJ48" s="62"/>
      <c r="GOK48" s="47"/>
      <c r="GOL48" s="48"/>
      <c r="GOM48" s="47"/>
      <c r="GON48" s="62"/>
      <c r="GOO48" s="47"/>
      <c r="GOP48" s="48"/>
      <c r="GOQ48" s="47"/>
      <c r="GOR48" s="62"/>
      <c r="GOS48" s="47"/>
      <c r="GOT48" s="48"/>
      <c r="GOU48" s="47"/>
      <c r="GOV48" s="62"/>
      <c r="GOW48" s="47"/>
      <c r="GOX48" s="48"/>
      <c r="GOY48" s="47"/>
      <c r="GOZ48" s="62"/>
      <c r="GPA48" s="47"/>
      <c r="GPB48" s="48"/>
      <c r="GPC48" s="47"/>
      <c r="GPD48" s="62"/>
      <c r="GPE48" s="47"/>
      <c r="GPF48" s="48"/>
      <c r="GPG48" s="47"/>
      <c r="GPH48" s="62"/>
      <c r="GPI48" s="47"/>
      <c r="GPJ48" s="48"/>
      <c r="GPK48" s="47"/>
      <c r="GPL48" s="62"/>
      <c r="GPM48" s="47"/>
      <c r="GPN48" s="48"/>
      <c r="GPO48" s="47"/>
      <c r="GPP48" s="62"/>
      <c r="GPQ48" s="47"/>
      <c r="GPR48" s="48"/>
      <c r="GPS48" s="47"/>
      <c r="GPT48" s="62"/>
      <c r="GPU48" s="47"/>
      <c r="GPV48" s="48"/>
      <c r="GPW48" s="47"/>
      <c r="GPX48" s="62"/>
      <c r="GPY48" s="47"/>
      <c r="GPZ48" s="48"/>
      <c r="GQA48" s="47"/>
      <c r="GQB48" s="62"/>
      <c r="GQC48" s="47"/>
      <c r="GQD48" s="48"/>
      <c r="GQE48" s="47"/>
      <c r="GQF48" s="62"/>
      <c r="GQG48" s="47"/>
      <c r="GQH48" s="48"/>
      <c r="GQI48" s="47"/>
      <c r="GQJ48" s="62"/>
      <c r="GQK48" s="47"/>
      <c r="GQL48" s="48"/>
      <c r="GQM48" s="47"/>
      <c r="GQN48" s="62"/>
      <c r="GQO48" s="47"/>
      <c r="GQP48" s="48"/>
      <c r="GQQ48" s="47"/>
      <c r="GQR48" s="62"/>
      <c r="GQS48" s="47"/>
      <c r="GQT48" s="48"/>
      <c r="GQU48" s="47"/>
      <c r="GQV48" s="62"/>
      <c r="GQW48" s="47"/>
      <c r="GQX48" s="48"/>
      <c r="GQY48" s="47"/>
      <c r="GQZ48" s="62"/>
      <c r="GRA48" s="47"/>
      <c r="GRB48" s="48"/>
      <c r="GRC48" s="47"/>
      <c r="GRD48" s="62"/>
      <c r="GRE48" s="47"/>
      <c r="GRF48" s="48"/>
      <c r="GRG48" s="47"/>
      <c r="GRH48" s="62"/>
      <c r="GRI48" s="47"/>
      <c r="GRJ48" s="48"/>
      <c r="GRK48" s="47"/>
      <c r="GRL48" s="62"/>
      <c r="GRM48" s="47"/>
      <c r="GRN48" s="48"/>
      <c r="GRO48" s="47"/>
      <c r="GRP48" s="62"/>
      <c r="GRQ48" s="47"/>
      <c r="GRR48" s="48"/>
      <c r="GRS48" s="47"/>
      <c r="GRT48" s="62"/>
      <c r="GRU48" s="47"/>
      <c r="GRV48" s="48"/>
      <c r="GRW48" s="47"/>
      <c r="GRX48" s="62"/>
      <c r="GRY48" s="47"/>
      <c r="GRZ48" s="48"/>
      <c r="GSA48" s="47"/>
      <c r="GSB48" s="62"/>
      <c r="GSC48" s="47"/>
      <c r="GSD48" s="48"/>
      <c r="GSE48" s="47"/>
      <c r="GSF48" s="62"/>
      <c r="GSG48" s="47"/>
      <c r="GSH48" s="48"/>
      <c r="GSI48" s="47"/>
      <c r="GSJ48" s="62"/>
      <c r="GSK48" s="47"/>
      <c r="GSL48" s="48"/>
      <c r="GSM48" s="47"/>
      <c r="GSN48" s="62"/>
      <c r="GSO48" s="47"/>
      <c r="GSP48" s="48"/>
      <c r="GSQ48" s="47"/>
      <c r="GSR48" s="62"/>
      <c r="GSS48" s="47"/>
      <c r="GST48" s="48"/>
      <c r="GSU48" s="47"/>
      <c r="GSV48" s="62"/>
      <c r="GSW48" s="47"/>
      <c r="GSX48" s="48"/>
      <c r="GSY48" s="47"/>
      <c r="GSZ48" s="62"/>
      <c r="GTA48" s="47"/>
      <c r="GTB48" s="48"/>
      <c r="GTC48" s="47"/>
      <c r="GTD48" s="62"/>
      <c r="GTE48" s="47"/>
      <c r="GTF48" s="48"/>
      <c r="GTG48" s="47"/>
      <c r="GTH48" s="62"/>
      <c r="GTI48" s="47"/>
      <c r="GTJ48" s="48"/>
      <c r="GTK48" s="47"/>
      <c r="GTL48" s="62"/>
      <c r="GTM48" s="47"/>
      <c r="GTN48" s="48"/>
      <c r="GTO48" s="47"/>
      <c r="GTP48" s="62"/>
      <c r="GTQ48" s="47"/>
      <c r="GTR48" s="48"/>
      <c r="GTS48" s="47"/>
      <c r="GTT48" s="62"/>
      <c r="GTU48" s="47"/>
      <c r="GTV48" s="48"/>
      <c r="GTW48" s="47"/>
      <c r="GTX48" s="62"/>
      <c r="GTY48" s="47"/>
      <c r="GTZ48" s="48"/>
      <c r="GUA48" s="47"/>
      <c r="GUB48" s="62"/>
      <c r="GUC48" s="47"/>
      <c r="GUD48" s="48"/>
      <c r="GUE48" s="47"/>
      <c r="GUF48" s="62"/>
      <c r="GUG48" s="47"/>
      <c r="GUH48" s="48"/>
      <c r="GUI48" s="47"/>
      <c r="GUJ48" s="62"/>
      <c r="GUK48" s="47"/>
      <c r="GUL48" s="48"/>
      <c r="GUM48" s="47"/>
      <c r="GUN48" s="62"/>
      <c r="GUO48" s="47"/>
      <c r="GUP48" s="48"/>
      <c r="GUQ48" s="47"/>
      <c r="GUR48" s="62"/>
      <c r="GUS48" s="47"/>
      <c r="GUT48" s="48"/>
      <c r="GUU48" s="47"/>
      <c r="GUV48" s="62"/>
      <c r="GUW48" s="47"/>
      <c r="GUX48" s="48"/>
      <c r="GUY48" s="47"/>
      <c r="GUZ48" s="62"/>
      <c r="GVA48" s="47"/>
      <c r="GVB48" s="48"/>
      <c r="GVC48" s="47"/>
      <c r="GVD48" s="62"/>
      <c r="GVE48" s="47"/>
      <c r="GVF48" s="48"/>
      <c r="GVG48" s="47"/>
      <c r="GVH48" s="62"/>
      <c r="GVI48" s="47"/>
      <c r="GVJ48" s="48"/>
      <c r="GVK48" s="47"/>
      <c r="GVL48" s="62"/>
      <c r="GVM48" s="47"/>
      <c r="GVN48" s="48"/>
      <c r="GVO48" s="47"/>
      <c r="GVP48" s="62"/>
      <c r="GVQ48" s="47"/>
      <c r="GVR48" s="48"/>
      <c r="GVS48" s="47"/>
      <c r="GVT48" s="62"/>
      <c r="GVU48" s="47"/>
      <c r="GVV48" s="48"/>
      <c r="GVW48" s="47"/>
      <c r="GVX48" s="62"/>
      <c r="GVY48" s="47"/>
      <c r="GVZ48" s="48"/>
      <c r="GWA48" s="47"/>
      <c r="GWB48" s="62"/>
      <c r="GWC48" s="47"/>
      <c r="GWD48" s="48"/>
      <c r="GWE48" s="47"/>
      <c r="GWF48" s="62"/>
      <c r="GWG48" s="47"/>
      <c r="GWH48" s="48"/>
      <c r="GWI48" s="47"/>
      <c r="GWJ48" s="62"/>
      <c r="GWK48" s="47"/>
      <c r="GWL48" s="48"/>
      <c r="GWM48" s="47"/>
      <c r="GWN48" s="62"/>
      <c r="GWO48" s="47"/>
      <c r="GWP48" s="48"/>
      <c r="GWQ48" s="47"/>
      <c r="GWR48" s="62"/>
      <c r="GWS48" s="47"/>
      <c r="GWT48" s="48"/>
      <c r="GWU48" s="47"/>
      <c r="GWV48" s="62"/>
      <c r="GWW48" s="47"/>
      <c r="GWX48" s="48"/>
      <c r="GWY48" s="47"/>
      <c r="GWZ48" s="62"/>
      <c r="GXA48" s="47"/>
      <c r="GXB48" s="48"/>
      <c r="GXC48" s="47"/>
      <c r="GXD48" s="62"/>
      <c r="GXE48" s="47"/>
      <c r="GXF48" s="48"/>
      <c r="GXG48" s="47"/>
      <c r="GXH48" s="62"/>
      <c r="GXI48" s="47"/>
      <c r="GXJ48" s="48"/>
      <c r="GXK48" s="47"/>
      <c r="GXL48" s="62"/>
      <c r="GXM48" s="47"/>
      <c r="GXN48" s="48"/>
      <c r="GXO48" s="47"/>
      <c r="GXP48" s="62"/>
      <c r="GXQ48" s="47"/>
      <c r="GXR48" s="48"/>
      <c r="GXS48" s="47"/>
      <c r="GXT48" s="62"/>
      <c r="GXU48" s="47"/>
      <c r="GXV48" s="48"/>
      <c r="GXW48" s="47"/>
      <c r="GXX48" s="62"/>
      <c r="GXY48" s="47"/>
      <c r="GXZ48" s="48"/>
      <c r="GYA48" s="47"/>
      <c r="GYB48" s="62"/>
      <c r="GYC48" s="47"/>
      <c r="GYD48" s="48"/>
      <c r="GYE48" s="47"/>
      <c r="GYF48" s="62"/>
      <c r="GYG48" s="47"/>
      <c r="GYH48" s="48"/>
      <c r="GYI48" s="47"/>
      <c r="GYJ48" s="62"/>
      <c r="GYK48" s="47"/>
      <c r="GYL48" s="48"/>
      <c r="GYM48" s="47"/>
      <c r="GYN48" s="62"/>
      <c r="GYO48" s="47"/>
      <c r="GYP48" s="48"/>
      <c r="GYQ48" s="47"/>
      <c r="GYR48" s="62"/>
      <c r="GYS48" s="47"/>
      <c r="GYT48" s="48"/>
      <c r="GYU48" s="47"/>
      <c r="GYV48" s="62"/>
      <c r="GYW48" s="47"/>
      <c r="GYX48" s="48"/>
      <c r="GYY48" s="47"/>
      <c r="GYZ48" s="62"/>
      <c r="GZA48" s="47"/>
      <c r="GZB48" s="48"/>
      <c r="GZC48" s="47"/>
      <c r="GZD48" s="62"/>
      <c r="GZE48" s="47"/>
      <c r="GZF48" s="48"/>
      <c r="GZG48" s="47"/>
      <c r="GZH48" s="62"/>
      <c r="GZI48" s="47"/>
      <c r="GZJ48" s="48"/>
      <c r="GZK48" s="47"/>
      <c r="GZL48" s="62"/>
      <c r="GZM48" s="47"/>
      <c r="GZN48" s="48"/>
      <c r="GZO48" s="47"/>
      <c r="GZP48" s="62"/>
      <c r="GZQ48" s="47"/>
      <c r="GZR48" s="48"/>
      <c r="GZS48" s="47"/>
      <c r="GZT48" s="62"/>
      <c r="GZU48" s="47"/>
      <c r="GZV48" s="48"/>
      <c r="GZW48" s="47"/>
      <c r="GZX48" s="62"/>
      <c r="GZY48" s="47"/>
      <c r="GZZ48" s="48"/>
      <c r="HAA48" s="47"/>
      <c r="HAB48" s="62"/>
      <c r="HAC48" s="47"/>
      <c r="HAD48" s="48"/>
      <c r="HAE48" s="47"/>
      <c r="HAF48" s="62"/>
      <c r="HAG48" s="47"/>
      <c r="HAH48" s="48"/>
      <c r="HAI48" s="47"/>
      <c r="HAJ48" s="62"/>
      <c r="HAK48" s="47"/>
      <c r="HAL48" s="48"/>
      <c r="HAM48" s="47"/>
      <c r="HAN48" s="62"/>
      <c r="HAO48" s="47"/>
      <c r="HAP48" s="48"/>
      <c r="HAQ48" s="47"/>
      <c r="HAR48" s="62"/>
      <c r="HAS48" s="47"/>
      <c r="HAT48" s="48"/>
      <c r="HAU48" s="47"/>
      <c r="HAV48" s="62"/>
      <c r="HAW48" s="47"/>
      <c r="HAX48" s="48"/>
      <c r="HAY48" s="47"/>
      <c r="HAZ48" s="62"/>
      <c r="HBA48" s="47"/>
      <c r="HBB48" s="48"/>
      <c r="HBC48" s="47"/>
      <c r="HBD48" s="62"/>
      <c r="HBE48" s="47"/>
      <c r="HBF48" s="48"/>
      <c r="HBG48" s="47"/>
      <c r="HBH48" s="62"/>
      <c r="HBI48" s="47"/>
      <c r="HBJ48" s="48"/>
      <c r="HBK48" s="47"/>
      <c r="HBL48" s="62"/>
      <c r="HBM48" s="47"/>
      <c r="HBN48" s="48"/>
      <c r="HBO48" s="47"/>
      <c r="HBP48" s="62"/>
      <c r="HBQ48" s="47"/>
      <c r="HBR48" s="48"/>
      <c r="HBS48" s="47"/>
      <c r="HBT48" s="62"/>
      <c r="HBU48" s="47"/>
      <c r="HBV48" s="48"/>
      <c r="HBW48" s="47"/>
      <c r="HBX48" s="62"/>
      <c r="HBY48" s="47"/>
      <c r="HBZ48" s="48"/>
      <c r="HCA48" s="47"/>
      <c r="HCB48" s="62"/>
      <c r="HCC48" s="47"/>
      <c r="HCD48" s="48"/>
      <c r="HCE48" s="47"/>
      <c r="HCF48" s="62"/>
      <c r="HCG48" s="47"/>
      <c r="HCH48" s="48"/>
      <c r="HCI48" s="47"/>
      <c r="HCJ48" s="62"/>
      <c r="HCK48" s="47"/>
      <c r="HCL48" s="48"/>
      <c r="HCM48" s="47"/>
      <c r="HCN48" s="62"/>
      <c r="HCO48" s="47"/>
      <c r="HCP48" s="48"/>
      <c r="HCQ48" s="47"/>
      <c r="HCR48" s="62"/>
      <c r="HCS48" s="47"/>
      <c r="HCT48" s="48"/>
      <c r="HCU48" s="47"/>
      <c r="HCV48" s="62"/>
      <c r="HCW48" s="47"/>
      <c r="HCX48" s="48"/>
      <c r="HCY48" s="47"/>
      <c r="HCZ48" s="62"/>
      <c r="HDA48" s="47"/>
      <c r="HDB48" s="48"/>
      <c r="HDC48" s="47"/>
      <c r="HDD48" s="62"/>
      <c r="HDE48" s="47"/>
      <c r="HDF48" s="48"/>
      <c r="HDG48" s="47"/>
      <c r="HDH48" s="62"/>
      <c r="HDI48" s="47"/>
      <c r="HDJ48" s="48"/>
      <c r="HDK48" s="47"/>
      <c r="HDL48" s="62"/>
      <c r="HDM48" s="47"/>
      <c r="HDN48" s="48"/>
      <c r="HDO48" s="47"/>
      <c r="HDP48" s="62"/>
      <c r="HDQ48" s="47"/>
      <c r="HDR48" s="48"/>
      <c r="HDS48" s="47"/>
      <c r="HDT48" s="62"/>
      <c r="HDU48" s="47"/>
      <c r="HDV48" s="48"/>
      <c r="HDW48" s="47"/>
      <c r="HDX48" s="62"/>
      <c r="HDY48" s="47"/>
      <c r="HDZ48" s="48"/>
      <c r="HEA48" s="47"/>
      <c r="HEB48" s="62"/>
      <c r="HEC48" s="47"/>
      <c r="HED48" s="48"/>
      <c r="HEE48" s="47"/>
      <c r="HEF48" s="62"/>
      <c r="HEG48" s="47"/>
      <c r="HEH48" s="48"/>
      <c r="HEI48" s="47"/>
      <c r="HEJ48" s="62"/>
      <c r="HEK48" s="47"/>
      <c r="HEL48" s="48"/>
      <c r="HEM48" s="47"/>
      <c r="HEN48" s="62"/>
      <c r="HEO48" s="47"/>
      <c r="HEP48" s="48"/>
      <c r="HEQ48" s="47"/>
      <c r="HER48" s="62"/>
      <c r="HES48" s="47"/>
      <c r="HET48" s="48"/>
      <c r="HEU48" s="47"/>
      <c r="HEV48" s="62"/>
      <c r="HEW48" s="47"/>
      <c r="HEX48" s="48"/>
      <c r="HEY48" s="47"/>
      <c r="HEZ48" s="62"/>
      <c r="HFA48" s="47"/>
      <c r="HFB48" s="48"/>
      <c r="HFC48" s="47"/>
      <c r="HFD48" s="62"/>
      <c r="HFE48" s="47"/>
      <c r="HFF48" s="48"/>
      <c r="HFG48" s="47"/>
      <c r="HFH48" s="62"/>
      <c r="HFI48" s="47"/>
      <c r="HFJ48" s="48"/>
      <c r="HFK48" s="47"/>
      <c r="HFL48" s="62"/>
      <c r="HFM48" s="47"/>
      <c r="HFN48" s="48"/>
      <c r="HFO48" s="47"/>
      <c r="HFP48" s="62"/>
      <c r="HFQ48" s="47"/>
      <c r="HFR48" s="48"/>
      <c r="HFS48" s="47"/>
      <c r="HFT48" s="62"/>
      <c r="HFU48" s="47"/>
      <c r="HFV48" s="48"/>
      <c r="HFW48" s="47"/>
      <c r="HFX48" s="62"/>
      <c r="HFY48" s="47"/>
      <c r="HFZ48" s="48"/>
      <c r="HGA48" s="47"/>
      <c r="HGB48" s="62"/>
      <c r="HGC48" s="47"/>
      <c r="HGD48" s="48"/>
      <c r="HGE48" s="47"/>
      <c r="HGF48" s="62"/>
      <c r="HGG48" s="47"/>
      <c r="HGH48" s="48"/>
      <c r="HGI48" s="47"/>
      <c r="HGJ48" s="62"/>
      <c r="HGK48" s="47"/>
      <c r="HGL48" s="48"/>
      <c r="HGM48" s="47"/>
      <c r="HGN48" s="62"/>
      <c r="HGO48" s="47"/>
      <c r="HGP48" s="48"/>
      <c r="HGQ48" s="47"/>
      <c r="HGR48" s="62"/>
      <c r="HGS48" s="47"/>
      <c r="HGT48" s="48"/>
      <c r="HGU48" s="47"/>
      <c r="HGV48" s="62"/>
      <c r="HGW48" s="47"/>
      <c r="HGX48" s="48"/>
      <c r="HGY48" s="47"/>
      <c r="HGZ48" s="62"/>
      <c r="HHA48" s="47"/>
      <c r="HHB48" s="48"/>
      <c r="HHC48" s="47"/>
      <c r="HHD48" s="62"/>
      <c r="HHE48" s="47"/>
      <c r="HHF48" s="48"/>
      <c r="HHG48" s="47"/>
      <c r="HHH48" s="62"/>
      <c r="HHI48" s="47"/>
      <c r="HHJ48" s="48"/>
      <c r="HHK48" s="47"/>
      <c r="HHL48" s="62"/>
      <c r="HHM48" s="47"/>
      <c r="HHN48" s="48"/>
      <c r="HHO48" s="47"/>
      <c r="HHP48" s="62"/>
      <c r="HHQ48" s="47"/>
      <c r="HHR48" s="48"/>
      <c r="HHS48" s="47"/>
      <c r="HHT48" s="62"/>
      <c r="HHU48" s="47"/>
      <c r="HHV48" s="48"/>
      <c r="HHW48" s="47"/>
      <c r="HHX48" s="62"/>
      <c r="HHY48" s="47"/>
      <c r="HHZ48" s="48"/>
      <c r="HIA48" s="47"/>
      <c r="HIB48" s="62"/>
      <c r="HIC48" s="47"/>
      <c r="HID48" s="48"/>
      <c r="HIE48" s="47"/>
      <c r="HIF48" s="62"/>
      <c r="HIG48" s="47"/>
      <c r="HIH48" s="48"/>
      <c r="HII48" s="47"/>
      <c r="HIJ48" s="62"/>
      <c r="HIK48" s="47"/>
      <c r="HIL48" s="48"/>
      <c r="HIM48" s="47"/>
      <c r="HIN48" s="62"/>
      <c r="HIO48" s="47"/>
      <c r="HIP48" s="48"/>
      <c r="HIQ48" s="47"/>
      <c r="HIR48" s="62"/>
      <c r="HIS48" s="47"/>
      <c r="HIT48" s="48"/>
      <c r="HIU48" s="47"/>
      <c r="HIV48" s="62"/>
      <c r="HIW48" s="47"/>
      <c r="HIX48" s="48"/>
      <c r="HIY48" s="47"/>
      <c r="HIZ48" s="62"/>
      <c r="HJA48" s="47"/>
      <c r="HJB48" s="48"/>
      <c r="HJC48" s="47"/>
      <c r="HJD48" s="62"/>
      <c r="HJE48" s="47"/>
      <c r="HJF48" s="48"/>
      <c r="HJG48" s="47"/>
      <c r="HJH48" s="62"/>
      <c r="HJI48" s="47"/>
      <c r="HJJ48" s="48"/>
      <c r="HJK48" s="47"/>
      <c r="HJL48" s="62"/>
      <c r="HJM48" s="47"/>
      <c r="HJN48" s="48"/>
      <c r="HJO48" s="47"/>
      <c r="HJP48" s="62"/>
      <c r="HJQ48" s="47"/>
      <c r="HJR48" s="48"/>
      <c r="HJS48" s="47"/>
      <c r="HJT48" s="62"/>
      <c r="HJU48" s="47"/>
      <c r="HJV48" s="48"/>
      <c r="HJW48" s="47"/>
      <c r="HJX48" s="62"/>
      <c r="HJY48" s="47"/>
      <c r="HJZ48" s="48"/>
      <c r="HKA48" s="47"/>
      <c r="HKB48" s="62"/>
      <c r="HKC48" s="47"/>
      <c r="HKD48" s="48"/>
      <c r="HKE48" s="47"/>
      <c r="HKF48" s="62"/>
      <c r="HKG48" s="47"/>
      <c r="HKH48" s="48"/>
      <c r="HKI48" s="47"/>
      <c r="HKJ48" s="62"/>
      <c r="HKK48" s="47"/>
      <c r="HKL48" s="48"/>
      <c r="HKM48" s="47"/>
      <c r="HKN48" s="62"/>
      <c r="HKO48" s="47"/>
      <c r="HKP48" s="48"/>
      <c r="HKQ48" s="47"/>
      <c r="HKR48" s="62"/>
      <c r="HKS48" s="47"/>
      <c r="HKT48" s="48"/>
      <c r="HKU48" s="47"/>
      <c r="HKV48" s="62"/>
      <c r="HKW48" s="47"/>
      <c r="HKX48" s="48"/>
      <c r="HKY48" s="47"/>
      <c r="HKZ48" s="62"/>
      <c r="HLA48" s="47"/>
      <c r="HLB48" s="48"/>
      <c r="HLC48" s="47"/>
      <c r="HLD48" s="62"/>
      <c r="HLE48" s="47"/>
      <c r="HLF48" s="48"/>
      <c r="HLG48" s="47"/>
      <c r="HLH48" s="62"/>
      <c r="HLI48" s="47"/>
      <c r="HLJ48" s="48"/>
      <c r="HLK48" s="47"/>
      <c r="HLL48" s="62"/>
      <c r="HLM48" s="47"/>
      <c r="HLN48" s="48"/>
      <c r="HLO48" s="47"/>
      <c r="HLP48" s="62"/>
      <c r="HLQ48" s="47"/>
      <c r="HLR48" s="48"/>
      <c r="HLS48" s="47"/>
      <c r="HLT48" s="62"/>
      <c r="HLU48" s="47"/>
      <c r="HLV48" s="48"/>
      <c r="HLW48" s="47"/>
      <c r="HLX48" s="62"/>
      <c r="HLY48" s="47"/>
      <c r="HLZ48" s="48"/>
      <c r="HMA48" s="47"/>
      <c r="HMB48" s="62"/>
      <c r="HMC48" s="47"/>
      <c r="HMD48" s="48"/>
      <c r="HME48" s="47"/>
      <c r="HMF48" s="62"/>
      <c r="HMG48" s="47"/>
      <c r="HMH48" s="48"/>
      <c r="HMI48" s="47"/>
      <c r="HMJ48" s="62"/>
      <c r="HMK48" s="47"/>
      <c r="HML48" s="48"/>
      <c r="HMM48" s="47"/>
      <c r="HMN48" s="62"/>
      <c r="HMO48" s="47"/>
      <c r="HMP48" s="48"/>
      <c r="HMQ48" s="47"/>
      <c r="HMR48" s="62"/>
      <c r="HMS48" s="47"/>
      <c r="HMT48" s="48"/>
      <c r="HMU48" s="47"/>
      <c r="HMV48" s="62"/>
      <c r="HMW48" s="47"/>
      <c r="HMX48" s="48"/>
      <c r="HMY48" s="47"/>
      <c r="HMZ48" s="62"/>
      <c r="HNA48" s="47"/>
      <c r="HNB48" s="48"/>
      <c r="HNC48" s="47"/>
      <c r="HND48" s="62"/>
      <c r="HNE48" s="47"/>
      <c r="HNF48" s="48"/>
      <c r="HNG48" s="47"/>
      <c r="HNH48" s="62"/>
      <c r="HNI48" s="47"/>
      <c r="HNJ48" s="48"/>
      <c r="HNK48" s="47"/>
      <c r="HNL48" s="62"/>
      <c r="HNM48" s="47"/>
      <c r="HNN48" s="48"/>
      <c r="HNO48" s="47"/>
      <c r="HNP48" s="62"/>
      <c r="HNQ48" s="47"/>
      <c r="HNR48" s="48"/>
      <c r="HNS48" s="47"/>
      <c r="HNT48" s="62"/>
      <c r="HNU48" s="47"/>
      <c r="HNV48" s="48"/>
      <c r="HNW48" s="47"/>
      <c r="HNX48" s="62"/>
      <c r="HNY48" s="47"/>
      <c r="HNZ48" s="48"/>
      <c r="HOA48" s="47"/>
      <c r="HOB48" s="62"/>
      <c r="HOC48" s="47"/>
      <c r="HOD48" s="48"/>
      <c r="HOE48" s="47"/>
      <c r="HOF48" s="62"/>
      <c r="HOG48" s="47"/>
      <c r="HOH48" s="48"/>
      <c r="HOI48" s="47"/>
      <c r="HOJ48" s="62"/>
      <c r="HOK48" s="47"/>
      <c r="HOL48" s="48"/>
      <c r="HOM48" s="47"/>
      <c r="HON48" s="62"/>
      <c r="HOO48" s="47"/>
      <c r="HOP48" s="48"/>
      <c r="HOQ48" s="47"/>
      <c r="HOR48" s="62"/>
      <c r="HOS48" s="47"/>
      <c r="HOT48" s="48"/>
      <c r="HOU48" s="47"/>
      <c r="HOV48" s="62"/>
      <c r="HOW48" s="47"/>
      <c r="HOX48" s="48"/>
      <c r="HOY48" s="47"/>
      <c r="HOZ48" s="62"/>
      <c r="HPA48" s="47"/>
      <c r="HPB48" s="48"/>
      <c r="HPC48" s="47"/>
      <c r="HPD48" s="62"/>
      <c r="HPE48" s="47"/>
      <c r="HPF48" s="48"/>
      <c r="HPG48" s="47"/>
      <c r="HPH48" s="62"/>
      <c r="HPI48" s="47"/>
      <c r="HPJ48" s="48"/>
      <c r="HPK48" s="47"/>
      <c r="HPL48" s="62"/>
      <c r="HPM48" s="47"/>
      <c r="HPN48" s="48"/>
      <c r="HPO48" s="47"/>
      <c r="HPP48" s="62"/>
      <c r="HPQ48" s="47"/>
      <c r="HPR48" s="48"/>
      <c r="HPS48" s="47"/>
      <c r="HPT48" s="62"/>
      <c r="HPU48" s="47"/>
      <c r="HPV48" s="48"/>
      <c r="HPW48" s="47"/>
      <c r="HPX48" s="62"/>
      <c r="HPY48" s="47"/>
      <c r="HPZ48" s="48"/>
      <c r="HQA48" s="47"/>
      <c r="HQB48" s="62"/>
      <c r="HQC48" s="47"/>
      <c r="HQD48" s="48"/>
      <c r="HQE48" s="47"/>
      <c r="HQF48" s="62"/>
      <c r="HQG48" s="47"/>
      <c r="HQH48" s="48"/>
      <c r="HQI48" s="47"/>
      <c r="HQJ48" s="62"/>
      <c r="HQK48" s="47"/>
      <c r="HQL48" s="48"/>
      <c r="HQM48" s="47"/>
      <c r="HQN48" s="62"/>
      <c r="HQO48" s="47"/>
      <c r="HQP48" s="48"/>
      <c r="HQQ48" s="47"/>
      <c r="HQR48" s="62"/>
      <c r="HQS48" s="47"/>
      <c r="HQT48" s="48"/>
      <c r="HQU48" s="47"/>
      <c r="HQV48" s="62"/>
      <c r="HQW48" s="47"/>
      <c r="HQX48" s="48"/>
      <c r="HQY48" s="47"/>
      <c r="HQZ48" s="62"/>
      <c r="HRA48" s="47"/>
      <c r="HRB48" s="48"/>
      <c r="HRC48" s="47"/>
      <c r="HRD48" s="62"/>
      <c r="HRE48" s="47"/>
      <c r="HRF48" s="48"/>
      <c r="HRG48" s="47"/>
      <c r="HRH48" s="62"/>
      <c r="HRI48" s="47"/>
      <c r="HRJ48" s="48"/>
      <c r="HRK48" s="47"/>
      <c r="HRL48" s="62"/>
      <c r="HRM48" s="47"/>
      <c r="HRN48" s="48"/>
      <c r="HRO48" s="47"/>
      <c r="HRP48" s="62"/>
      <c r="HRQ48" s="47"/>
      <c r="HRR48" s="48"/>
      <c r="HRS48" s="47"/>
      <c r="HRT48" s="62"/>
      <c r="HRU48" s="47"/>
      <c r="HRV48" s="48"/>
      <c r="HRW48" s="47"/>
      <c r="HRX48" s="62"/>
      <c r="HRY48" s="47"/>
      <c r="HRZ48" s="48"/>
      <c r="HSA48" s="47"/>
      <c r="HSB48" s="62"/>
      <c r="HSC48" s="47"/>
      <c r="HSD48" s="48"/>
      <c r="HSE48" s="47"/>
      <c r="HSF48" s="62"/>
      <c r="HSG48" s="47"/>
      <c r="HSH48" s="48"/>
      <c r="HSI48" s="47"/>
      <c r="HSJ48" s="62"/>
      <c r="HSK48" s="47"/>
      <c r="HSL48" s="48"/>
      <c r="HSM48" s="47"/>
      <c r="HSN48" s="62"/>
      <c r="HSO48" s="47"/>
      <c r="HSP48" s="48"/>
      <c r="HSQ48" s="47"/>
      <c r="HSR48" s="62"/>
      <c r="HSS48" s="47"/>
      <c r="HST48" s="48"/>
      <c r="HSU48" s="47"/>
      <c r="HSV48" s="62"/>
      <c r="HSW48" s="47"/>
      <c r="HSX48" s="48"/>
      <c r="HSY48" s="47"/>
      <c r="HSZ48" s="62"/>
      <c r="HTA48" s="47"/>
      <c r="HTB48" s="48"/>
      <c r="HTC48" s="47"/>
      <c r="HTD48" s="62"/>
      <c r="HTE48" s="47"/>
      <c r="HTF48" s="48"/>
      <c r="HTG48" s="47"/>
      <c r="HTH48" s="62"/>
      <c r="HTI48" s="47"/>
      <c r="HTJ48" s="48"/>
      <c r="HTK48" s="47"/>
      <c r="HTL48" s="62"/>
      <c r="HTM48" s="47"/>
      <c r="HTN48" s="48"/>
      <c r="HTO48" s="47"/>
      <c r="HTP48" s="62"/>
      <c r="HTQ48" s="47"/>
      <c r="HTR48" s="48"/>
      <c r="HTS48" s="47"/>
      <c r="HTT48" s="62"/>
      <c r="HTU48" s="47"/>
      <c r="HTV48" s="48"/>
      <c r="HTW48" s="47"/>
      <c r="HTX48" s="62"/>
      <c r="HTY48" s="47"/>
      <c r="HTZ48" s="48"/>
      <c r="HUA48" s="47"/>
      <c r="HUB48" s="62"/>
      <c r="HUC48" s="47"/>
      <c r="HUD48" s="48"/>
      <c r="HUE48" s="47"/>
      <c r="HUF48" s="62"/>
      <c r="HUG48" s="47"/>
      <c r="HUH48" s="48"/>
      <c r="HUI48" s="47"/>
      <c r="HUJ48" s="62"/>
      <c r="HUK48" s="47"/>
      <c r="HUL48" s="48"/>
      <c r="HUM48" s="47"/>
      <c r="HUN48" s="62"/>
      <c r="HUO48" s="47"/>
      <c r="HUP48" s="48"/>
      <c r="HUQ48" s="47"/>
      <c r="HUR48" s="62"/>
      <c r="HUS48" s="47"/>
      <c r="HUT48" s="48"/>
      <c r="HUU48" s="47"/>
      <c r="HUV48" s="62"/>
      <c r="HUW48" s="47"/>
      <c r="HUX48" s="48"/>
      <c r="HUY48" s="47"/>
      <c r="HUZ48" s="62"/>
      <c r="HVA48" s="47"/>
      <c r="HVB48" s="48"/>
      <c r="HVC48" s="47"/>
      <c r="HVD48" s="62"/>
      <c r="HVE48" s="47"/>
      <c r="HVF48" s="48"/>
      <c r="HVG48" s="47"/>
      <c r="HVH48" s="62"/>
      <c r="HVI48" s="47"/>
      <c r="HVJ48" s="48"/>
      <c r="HVK48" s="47"/>
      <c r="HVL48" s="62"/>
      <c r="HVM48" s="47"/>
      <c r="HVN48" s="48"/>
      <c r="HVO48" s="47"/>
      <c r="HVP48" s="62"/>
      <c r="HVQ48" s="47"/>
      <c r="HVR48" s="48"/>
      <c r="HVS48" s="47"/>
      <c r="HVT48" s="62"/>
      <c r="HVU48" s="47"/>
      <c r="HVV48" s="48"/>
      <c r="HVW48" s="47"/>
      <c r="HVX48" s="62"/>
      <c r="HVY48" s="47"/>
      <c r="HVZ48" s="48"/>
      <c r="HWA48" s="47"/>
      <c r="HWB48" s="62"/>
      <c r="HWC48" s="47"/>
      <c r="HWD48" s="48"/>
      <c r="HWE48" s="47"/>
      <c r="HWF48" s="62"/>
      <c r="HWG48" s="47"/>
      <c r="HWH48" s="48"/>
      <c r="HWI48" s="47"/>
      <c r="HWJ48" s="62"/>
      <c r="HWK48" s="47"/>
      <c r="HWL48" s="48"/>
      <c r="HWM48" s="47"/>
      <c r="HWN48" s="62"/>
      <c r="HWO48" s="47"/>
      <c r="HWP48" s="48"/>
      <c r="HWQ48" s="47"/>
      <c r="HWR48" s="62"/>
      <c r="HWS48" s="47"/>
      <c r="HWT48" s="48"/>
      <c r="HWU48" s="47"/>
      <c r="HWV48" s="62"/>
      <c r="HWW48" s="47"/>
      <c r="HWX48" s="48"/>
      <c r="HWY48" s="47"/>
      <c r="HWZ48" s="62"/>
      <c r="HXA48" s="47"/>
      <c r="HXB48" s="48"/>
      <c r="HXC48" s="47"/>
      <c r="HXD48" s="62"/>
      <c r="HXE48" s="47"/>
      <c r="HXF48" s="48"/>
      <c r="HXG48" s="47"/>
      <c r="HXH48" s="62"/>
      <c r="HXI48" s="47"/>
      <c r="HXJ48" s="48"/>
      <c r="HXK48" s="47"/>
      <c r="HXL48" s="62"/>
      <c r="HXM48" s="47"/>
      <c r="HXN48" s="48"/>
      <c r="HXO48" s="47"/>
      <c r="HXP48" s="62"/>
      <c r="HXQ48" s="47"/>
      <c r="HXR48" s="48"/>
      <c r="HXS48" s="47"/>
      <c r="HXT48" s="62"/>
      <c r="HXU48" s="47"/>
      <c r="HXV48" s="48"/>
      <c r="HXW48" s="47"/>
      <c r="HXX48" s="62"/>
      <c r="HXY48" s="47"/>
      <c r="HXZ48" s="48"/>
      <c r="HYA48" s="47"/>
      <c r="HYB48" s="62"/>
      <c r="HYC48" s="47"/>
      <c r="HYD48" s="48"/>
      <c r="HYE48" s="47"/>
      <c r="HYF48" s="62"/>
      <c r="HYG48" s="47"/>
      <c r="HYH48" s="48"/>
      <c r="HYI48" s="47"/>
      <c r="HYJ48" s="62"/>
      <c r="HYK48" s="47"/>
      <c r="HYL48" s="48"/>
      <c r="HYM48" s="47"/>
      <c r="HYN48" s="62"/>
      <c r="HYO48" s="47"/>
      <c r="HYP48" s="48"/>
      <c r="HYQ48" s="47"/>
      <c r="HYR48" s="62"/>
      <c r="HYS48" s="47"/>
      <c r="HYT48" s="48"/>
      <c r="HYU48" s="47"/>
      <c r="HYV48" s="62"/>
      <c r="HYW48" s="47"/>
      <c r="HYX48" s="48"/>
      <c r="HYY48" s="47"/>
      <c r="HYZ48" s="62"/>
      <c r="HZA48" s="47"/>
      <c r="HZB48" s="48"/>
      <c r="HZC48" s="47"/>
      <c r="HZD48" s="62"/>
      <c r="HZE48" s="47"/>
      <c r="HZF48" s="48"/>
      <c r="HZG48" s="47"/>
      <c r="HZH48" s="62"/>
      <c r="HZI48" s="47"/>
      <c r="HZJ48" s="48"/>
      <c r="HZK48" s="47"/>
      <c r="HZL48" s="62"/>
      <c r="HZM48" s="47"/>
      <c r="HZN48" s="48"/>
      <c r="HZO48" s="47"/>
      <c r="HZP48" s="62"/>
      <c r="HZQ48" s="47"/>
      <c r="HZR48" s="48"/>
      <c r="HZS48" s="47"/>
      <c r="HZT48" s="62"/>
      <c r="HZU48" s="47"/>
      <c r="HZV48" s="48"/>
      <c r="HZW48" s="47"/>
      <c r="HZX48" s="62"/>
      <c r="HZY48" s="47"/>
      <c r="HZZ48" s="48"/>
      <c r="IAA48" s="47"/>
      <c r="IAB48" s="62"/>
      <c r="IAC48" s="47"/>
      <c r="IAD48" s="48"/>
      <c r="IAE48" s="47"/>
      <c r="IAF48" s="62"/>
      <c r="IAG48" s="47"/>
      <c r="IAH48" s="48"/>
      <c r="IAI48" s="47"/>
      <c r="IAJ48" s="62"/>
      <c r="IAK48" s="47"/>
      <c r="IAL48" s="48"/>
      <c r="IAM48" s="47"/>
      <c r="IAN48" s="62"/>
      <c r="IAO48" s="47"/>
      <c r="IAP48" s="48"/>
      <c r="IAQ48" s="47"/>
      <c r="IAR48" s="62"/>
      <c r="IAS48" s="47"/>
      <c r="IAT48" s="48"/>
      <c r="IAU48" s="47"/>
      <c r="IAV48" s="62"/>
      <c r="IAW48" s="47"/>
      <c r="IAX48" s="48"/>
      <c r="IAY48" s="47"/>
      <c r="IAZ48" s="62"/>
      <c r="IBA48" s="47"/>
      <c r="IBB48" s="48"/>
      <c r="IBC48" s="47"/>
      <c r="IBD48" s="62"/>
      <c r="IBE48" s="47"/>
      <c r="IBF48" s="48"/>
      <c r="IBG48" s="47"/>
      <c r="IBH48" s="62"/>
      <c r="IBI48" s="47"/>
      <c r="IBJ48" s="48"/>
      <c r="IBK48" s="47"/>
      <c r="IBL48" s="62"/>
      <c r="IBM48" s="47"/>
      <c r="IBN48" s="48"/>
      <c r="IBO48" s="47"/>
      <c r="IBP48" s="62"/>
      <c r="IBQ48" s="47"/>
      <c r="IBR48" s="48"/>
      <c r="IBS48" s="47"/>
      <c r="IBT48" s="62"/>
      <c r="IBU48" s="47"/>
      <c r="IBV48" s="48"/>
      <c r="IBW48" s="47"/>
      <c r="IBX48" s="62"/>
      <c r="IBY48" s="47"/>
      <c r="IBZ48" s="48"/>
      <c r="ICA48" s="47"/>
      <c r="ICB48" s="62"/>
      <c r="ICC48" s="47"/>
      <c r="ICD48" s="48"/>
      <c r="ICE48" s="47"/>
      <c r="ICF48" s="62"/>
      <c r="ICG48" s="47"/>
      <c r="ICH48" s="48"/>
      <c r="ICI48" s="47"/>
      <c r="ICJ48" s="62"/>
      <c r="ICK48" s="47"/>
      <c r="ICL48" s="48"/>
      <c r="ICM48" s="47"/>
      <c r="ICN48" s="62"/>
      <c r="ICO48" s="47"/>
      <c r="ICP48" s="48"/>
      <c r="ICQ48" s="47"/>
      <c r="ICR48" s="62"/>
      <c r="ICS48" s="47"/>
      <c r="ICT48" s="48"/>
      <c r="ICU48" s="47"/>
      <c r="ICV48" s="62"/>
      <c r="ICW48" s="47"/>
      <c r="ICX48" s="48"/>
      <c r="ICY48" s="47"/>
      <c r="ICZ48" s="62"/>
      <c r="IDA48" s="47"/>
      <c r="IDB48" s="48"/>
      <c r="IDC48" s="47"/>
      <c r="IDD48" s="62"/>
      <c r="IDE48" s="47"/>
      <c r="IDF48" s="48"/>
      <c r="IDG48" s="47"/>
      <c r="IDH48" s="62"/>
      <c r="IDI48" s="47"/>
      <c r="IDJ48" s="48"/>
      <c r="IDK48" s="47"/>
      <c r="IDL48" s="62"/>
      <c r="IDM48" s="47"/>
      <c r="IDN48" s="48"/>
      <c r="IDO48" s="47"/>
      <c r="IDP48" s="62"/>
      <c r="IDQ48" s="47"/>
      <c r="IDR48" s="48"/>
      <c r="IDS48" s="47"/>
      <c r="IDT48" s="62"/>
      <c r="IDU48" s="47"/>
      <c r="IDV48" s="48"/>
      <c r="IDW48" s="47"/>
      <c r="IDX48" s="62"/>
      <c r="IDY48" s="47"/>
      <c r="IDZ48" s="48"/>
      <c r="IEA48" s="47"/>
      <c r="IEB48" s="62"/>
      <c r="IEC48" s="47"/>
      <c r="IED48" s="48"/>
      <c r="IEE48" s="47"/>
      <c r="IEF48" s="62"/>
      <c r="IEG48" s="47"/>
      <c r="IEH48" s="48"/>
      <c r="IEI48" s="47"/>
      <c r="IEJ48" s="62"/>
      <c r="IEK48" s="47"/>
      <c r="IEL48" s="48"/>
      <c r="IEM48" s="47"/>
      <c r="IEN48" s="62"/>
      <c r="IEO48" s="47"/>
      <c r="IEP48" s="48"/>
      <c r="IEQ48" s="47"/>
      <c r="IER48" s="62"/>
      <c r="IES48" s="47"/>
      <c r="IET48" s="48"/>
      <c r="IEU48" s="47"/>
      <c r="IEV48" s="62"/>
      <c r="IEW48" s="47"/>
      <c r="IEX48" s="48"/>
      <c r="IEY48" s="47"/>
      <c r="IEZ48" s="62"/>
      <c r="IFA48" s="47"/>
      <c r="IFB48" s="48"/>
      <c r="IFC48" s="47"/>
      <c r="IFD48" s="62"/>
      <c r="IFE48" s="47"/>
      <c r="IFF48" s="48"/>
      <c r="IFG48" s="47"/>
      <c r="IFH48" s="62"/>
      <c r="IFI48" s="47"/>
      <c r="IFJ48" s="48"/>
      <c r="IFK48" s="47"/>
      <c r="IFL48" s="62"/>
      <c r="IFM48" s="47"/>
      <c r="IFN48" s="48"/>
      <c r="IFO48" s="47"/>
      <c r="IFP48" s="62"/>
      <c r="IFQ48" s="47"/>
      <c r="IFR48" s="48"/>
      <c r="IFS48" s="47"/>
      <c r="IFT48" s="62"/>
      <c r="IFU48" s="47"/>
      <c r="IFV48" s="48"/>
      <c r="IFW48" s="47"/>
      <c r="IFX48" s="62"/>
      <c r="IFY48" s="47"/>
      <c r="IFZ48" s="48"/>
      <c r="IGA48" s="47"/>
      <c r="IGB48" s="62"/>
      <c r="IGC48" s="47"/>
      <c r="IGD48" s="48"/>
      <c r="IGE48" s="47"/>
      <c r="IGF48" s="62"/>
      <c r="IGG48" s="47"/>
      <c r="IGH48" s="48"/>
      <c r="IGI48" s="47"/>
      <c r="IGJ48" s="62"/>
      <c r="IGK48" s="47"/>
      <c r="IGL48" s="48"/>
      <c r="IGM48" s="47"/>
      <c r="IGN48" s="62"/>
      <c r="IGO48" s="47"/>
      <c r="IGP48" s="48"/>
      <c r="IGQ48" s="47"/>
      <c r="IGR48" s="62"/>
      <c r="IGS48" s="47"/>
      <c r="IGT48" s="48"/>
      <c r="IGU48" s="47"/>
      <c r="IGV48" s="62"/>
      <c r="IGW48" s="47"/>
      <c r="IGX48" s="48"/>
      <c r="IGY48" s="47"/>
      <c r="IGZ48" s="62"/>
      <c r="IHA48" s="47"/>
      <c r="IHB48" s="48"/>
      <c r="IHC48" s="47"/>
      <c r="IHD48" s="62"/>
      <c r="IHE48" s="47"/>
      <c r="IHF48" s="48"/>
      <c r="IHG48" s="47"/>
      <c r="IHH48" s="62"/>
      <c r="IHI48" s="47"/>
      <c r="IHJ48" s="48"/>
      <c r="IHK48" s="47"/>
      <c r="IHL48" s="62"/>
      <c r="IHM48" s="47"/>
      <c r="IHN48" s="48"/>
      <c r="IHO48" s="47"/>
      <c r="IHP48" s="62"/>
      <c r="IHQ48" s="47"/>
      <c r="IHR48" s="48"/>
      <c r="IHS48" s="47"/>
      <c r="IHT48" s="62"/>
      <c r="IHU48" s="47"/>
      <c r="IHV48" s="48"/>
      <c r="IHW48" s="47"/>
      <c r="IHX48" s="62"/>
      <c r="IHY48" s="47"/>
      <c r="IHZ48" s="48"/>
      <c r="IIA48" s="47"/>
      <c r="IIB48" s="62"/>
      <c r="IIC48" s="47"/>
      <c r="IID48" s="48"/>
      <c r="IIE48" s="47"/>
      <c r="IIF48" s="62"/>
      <c r="IIG48" s="47"/>
      <c r="IIH48" s="48"/>
      <c r="III48" s="47"/>
      <c r="IIJ48" s="62"/>
      <c r="IIK48" s="47"/>
      <c r="IIL48" s="48"/>
      <c r="IIM48" s="47"/>
      <c r="IIN48" s="62"/>
      <c r="IIO48" s="47"/>
      <c r="IIP48" s="48"/>
      <c r="IIQ48" s="47"/>
      <c r="IIR48" s="62"/>
      <c r="IIS48" s="47"/>
      <c r="IIT48" s="48"/>
      <c r="IIU48" s="47"/>
      <c r="IIV48" s="62"/>
      <c r="IIW48" s="47"/>
      <c r="IIX48" s="48"/>
      <c r="IIY48" s="47"/>
      <c r="IIZ48" s="62"/>
      <c r="IJA48" s="47"/>
      <c r="IJB48" s="48"/>
      <c r="IJC48" s="47"/>
      <c r="IJD48" s="62"/>
      <c r="IJE48" s="47"/>
      <c r="IJF48" s="48"/>
      <c r="IJG48" s="47"/>
      <c r="IJH48" s="62"/>
      <c r="IJI48" s="47"/>
      <c r="IJJ48" s="48"/>
      <c r="IJK48" s="47"/>
      <c r="IJL48" s="62"/>
      <c r="IJM48" s="47"/>
      <c r="IJN48" s="48"/>
      <c r="IJO48" s="47"/>
      <c r="IJP48" s="62"/>
      <c r="IJQ48" s="47"/>
      <c r="IJR48" s="48"/>
      <c r="IJS48" s="47"/>
      <c r="IJT48" s="62"/>
      <c r="IJU48" s="47"/>
      <c r="IJV48" s="48"/>
      <c r="IJW48" s="47"/>
      <c r="IJX48" s="62"/>
      <c r="IJY48" s="47"/>
      <c r="IJZ48" s="48"/>
      <c r="IKA48" s="47"/>
      <c r="IKB48" s="62"/>
      <c r="IKC48" s="47"/>
      <c r="IKD48" s="48"/>
      <c r="IKE48" s="47"/>
      <c r="IKF48" s="62"/>
      <c r="IKG48" s="47"/>
      <c r="IKH48" s="48"/>
      <c r="IKI48" s="47"/>
      <c r="IKJ48" s="62"/>
      <c r="IKK48" s="47"/>
      <c r="IKL48" s="48"/>
      <c r="IKM48" s="47"/>
      <c r="IKN48" s="62"/>
      <c r="IKO48" s="47"/>
      <c r="IKP48" s="48"/>
      <c r="IKQ48" s="47"/>
      <c r="IKR48" s="62"/>
      <c r="IKS48" s="47"/>
      <c r="IKT48" s="48"/>
      <c r="IKU48" s="47"/>
      <c r="IKV48" s="62"/>
      <c r="IKW48" s="47"/>
      <c r="IKX48" s="48"/>
      <c r="IKY48" s="47"/>
      <c r="IKZ48" s="62"/>
      <c r="ILA48" s="47"/>
      <c r="ILB48" s="48"/>
      <c r="ILC48" s="47"/>
      <c r="ILD48" s="62"/>
      <c r="ILE48" s="47"/>
      <c r="ILF48" s="48"/>
      <c r="ILG48" s="47"/>
      <c r="ILH48" s="62"/>
      <c r="ILI48" s="47"/>
      <c r="ILJ48" s="48"/>
      <c r="ILK48" s="47"/>
      <c r="ILL48" s="62"/>
      <c r="ILM48" s="47"/>
      <c r="ILN48" s="48"/>
      <c r="ILO48" s="47"/>
      <c r="ILP48" s="62"/>
      <c r="ILQ48" s="47"/>
      <c r="ILR48" s="48"/>
      <c r="ILS48" s="47"/>
      <c r="ILT48" s="62"/>
      <c r="ILU48" s="47"/>
      <c r="ILV48" s="48"/>
      <c r="ILW48" s="47"/>
      <c r="ILX48" s="62"/>
      <c r="ILY48" s="47"/>
      <c r="ILZ48" s="48"/>
      <c r="IMA48" s="47"/>
      <c r="IMB48" s="62"/>
      <c r="IMC48" s="47"/>
      <c r="IMD48" s="48"/>
      <c r="IME48" s="47"/>
      <c r="IMF48" s="62"/>
      <c r="IMG48" s="47"/>
      <c r="IMH48" s="48"/>
      <c r="IMI48" s="47"/>
      <c r="IMJ48" s="62"/>
      <c r="IMK48" s="47"/>
      <c r="IML48" s="48"/>
      <c r="IMM48" s="47"/>
      <c r="IMN48" s="62"/>
      <c r="IMO48" s="47"/>
      <c r="IMP48" s="48"/>
      <c r="IMQ48" s="47"/>
      <c r="IMR48" s="62"/>
      <c r="IMS48" s="47"/>
      <c r="IMT48" s="48"/>
      <c r="IMU48" s="47"/>
      <c r="IMV48" s="62"/>
      <c r="IMW48" s="47"/>
      <c r="IMX48" s="48"/>
      <c r="IMY48" s="47"/>
      <c r="IMZ48" s="62"/>
      <c r="INA48" s="47"/>
      <c r="INB48" s="48"/>
      <c r="INC48" s="47"/>
      <c r="IND48" s="62"/>
      <c r="INE48" s="47"/>
      <c r="INF48" s="48"/>
      <c r="ING48" s="47"/>
      <c r="INH48" s="62"/>
      <c r="INI48" s="47"/>
      <c r="INJ48" s="48"/>
      <c r="INK48" s="47"/>
      <c r="INL48" s="62"/>
      <c r="INM48" s="47"/>
      <c r="INN48" s="48"/>
      <c r="INO48" s="47"/>
      <c r="INP48" s="62"/>
      <c r="INQ48" s="47"/>
      <c r="INR48" s="48"/>
      <c r="INS48" s="47"/>
      <c r="INT48" s="62"/>
      <c r="INU48" s="47"/>
      <c r="INV48" s="48"/>
      <c r="INW48" s="47"/>
      <c r="INX48" s="62"/>
      <c r="INY48" s="47"/>
      <c r="INZ48" s="48"/>
      <c r="IOA48" s="47"/>
      <c r="IOB48" s="62"/>
      <c r="IOC48" s="47"/>
      <c r="IOD48" s="48"/>
      <c r="IOE48" s="47"/>
      <c r="IOF48" s="62"/>
      <c r="IOG48" s="47"/>
      <c r="IOH48" s="48"/>
      <c r="IOI48" s="47"/>
      <c r="IOJ48" s="62"/>
      <c r="IOK48" s="47"/>
      <c r="IOL48" s="48"/>
      <c r="IOM48" s="47"/>
      <c r="ION48" s="62"/>
      <c r="IOO48" s="47"/>
      <c r="IOP48" s="48"/>
      <c r="IOQ48" s="47"/>
      <c r="IOR48" s="62"/>
      <c r="IOS48" s="47"/>
      <c r="IOT48" s="48"/>
      <c r="IOU48" s="47"/>
      <c r="IOV48" s="62"/>
      <c r="IOW48" s="47"/>
      <c r="IOX48" s="48"/>
      <c r="IOY48" s="47"/>
      <c r="IOZ48" s="62"/>
      <c r="IPA48" s="47"/>
      <c r="IPB48" s="48"/>
      <c r="IPC48" s="47"/>
      <c r="IPD48" s="62"/>
      <c r="IPE48" s="47"/>
      <c r="IPF48" s="48"/>
      <c r="IPG48" s="47"/>
      <c r="IPH48" s="62"/>
      <c r="IPI48" s="47"/>
      <c r="IPJ48" s="48"/>
      <c r="IPK48" s="47"/>
      <c r="IPL48" s="62"/>
      <c r="IPM48" s="47"/>
      <c r="IPN48" s="48"/>
      <c r="IPO48" s="47"/>
      <c r="IPP48" s="62"/>
      <c r="IPQ48" s="47"/>
      <c r="IPR48" s="48"/>
      <c r="IPS48" s="47"/>
      <c r="IPT48" s="62"/>
      <c r="IPU48" s="47"/>
      <c r="IPV48" s="48"/>
      <c r="IPW48" s="47"/>
      <c r="IPX48" s="62"/>
      <c r="IPY48" s="47"/>
      <c r="IPZ48" s="48"/>
      <c r="IQA48" s="47"/>
      <c r="IQB48" s="62"/>
      <c r="IQC48" s="47"/>
      <c r="IQD48" s="48"/>
      <c r="IQE48" s="47"/>
      <c r="IQF48" s="62"/>
      <c r="IQG48" s="47"/>
      <c r="IQH48" s="48"/>
      <c r="IQI48" s="47"/>
      <c r="IQJ48" s="62"/>
      <c r="IQK48" s="47"/>
      <c r="IQL48" s="48"/>
      <c r="IQM48" s="47"/>
      <c r="IQN48" s="62"/>
      <c r="IQO48" s="47"/>
      <c r="IQP48" s="48"/>
      <c r="IQQ48" s="47"/>
      <c r="IQR48" s="62"/>
      <c r="IQS48" s="47"/>
      <c r="IQT48" s="48"/>
      <c r="IQU48" s="47"/>
      <c r="IQV48" s="62"/>
      <c r="IQW48" s="47"/>
      <c r="IQX48" s="48"/>
      <c r="IQY48" s="47"/>
      <c r="IQZ48" s="62"/>
      <c r="IRA48" s="47"/>
      <c r="IRB48" s="48"/>
      <c r="IRC48" s="47"/>
      <c r="IRD48" s="62"/>
      <c r="IRE48" s="47"/>
      <c r="IRF48" s="48"/>
      <c r="IRG48" s="47"/>
      <c r="IRH48" s="62"/>
      <c r="IRI48" s="47"/>
      <c r="IRJ48" s="48"/>
      <c r="IRK48" s="47"/>
      <c r="IRL48" s="62"/>
      <c r="IRM48" s="47"/>
      <c r="IRN48" s="48"/>
      <c r="IRO48" s="47"/>
      <c r="IRP48" s="62"/>
      <c r="IRQ48" s="47"/>
      <c r="IRR48" s="48"/>
      <c r="IRS48" s="47"/>
      <c r="IRT48" s="62"/>
      <c r="IRU48" s="47"/>
      <c r="IRV48" s="48"/>
      <c r="IRW48" s="47"/>
      <c r="IRX48" s="62"/>
      <c r="IRY48" s="47"/>
      <c r="IRZ48" s="48"/>
      <c r="ISA48" s="47"/>
      <c r="ISB48" s="62"/>
      <c r="ISC48" s="47"/>
      <c r="ISD48" s="48"/>
      <c r="ISE48" s="47"/>
      <c r="ISF48" s="62"/>
      <c r="ISG48" s="47"/>
      <c r="ISH48" s="48"/>
      <c r="ISI48" s="47"/>
      <c r="ISJ48" s="62"/>
      <c r="ISK48" s="47"/>
      <c r="ISL48" s="48"/>
      <c r="ISM48" s="47"/>
      <c r="ISN48" s="62"/>
      <c r="ISO48" s="47"/>
      <c r="ISP48" s="48"/>
      <c r="ISQ48" s="47"/>
      <c r="ISR48" s="62"/>
      <c r="ISS48" s="47"/>
      <c r="IST48" s="48"/>
      <c r="ISU48" s="47"/>
      <c r="ISV48" s="62"/>
      <c r="ISW48" s="47"/>
      <c r="ISX48" s="48"/>
      <c r="ISY48" s="47"/>
      <c r="ISZ48" s="62"/>
      <c r="ITA48" s="47"/>
      <c r="ITB48" s="48"/>
      <c r="ITC48" s="47"/>
      <c r="ITD48" s="62"/>
      <c r="ITE48" s="47"/>
      <c r="ITF48" s="48"/>
      <c r="ITG48" s="47"/>
      <c r="ITH48" s="62"/>
      <c r="ITI48" s="47"/>
      <c r="ITJ48" s="48"/>
      <c r="ITK48" s="47"/>
      <c r="ITL48" s="62"/>
      <c r="ITM48" s="47"/>
      <c r="ITN48" s="48"/>
      <c r="ITO48" s="47"/>
      <c r="ITP48" s="62"/>
      <c r="ITQ48" s="47"/>
      <c r="ITR48" s="48"/>
      <c r="ITS48" s="47"/>
      <c r="ITT48" s="62"/>
      <c r="ITU48" s="47"/>
      <c r="ITV48" s="48"/>
      <c r="ITW48" s="47"/>
      <c r="ITX48" s="62"/>
      <c r="ITY48" s="47"/>
      <c r="ITZ48" s="48"/>
      <c r="IUA48" s="47"/>
      <c r="IUB48" s="62"/>
      <c r="IUC48" s="47"/>
      <c r="IUD48" s="48"/>
      <c r="IUE48" s="47"/>
      <c r="IUF48" s="62"/>
      <c r="IUG48" s="47"/>
      <c r="IUH48" s="48"/>
      <c r="IUI48" s="47"/>
      <c r="IUJ48" s="62"/>
      <c r="IUK48" s="47"/>
      <c r="IUL48" s="48"/>
      <c r="IUM48" s="47"/>
      <c r="IUN48" s="62"/>
      <c r="IUO48" s="47"/>
      <c r="IUP48" s="48"/>
      <c r="IUQ48" s="47"/>
      <c r="IUR48" s="62"/>
      <c r="IUS48" s="47"/>
      <c r="IUT48" s="48"/>
      <c r="IUU48" s="47"/>
      <c r="IUV48" s="62"/>
      <c r="IUW48" s="47"/>
      <c r="IUX48" s="48"/>
      <c r="IUY48" s="47"/>
      <c r="IUZ48" s="62"/>
      <c r="IVA48" s="47"/>
      <c r="IVB48" s="48"/>
      <c r="IVC48" s="47"/>
      <c r="IVD48" s="62"/>
      <c r="IVE48" s="47"/>
      <c r="IVF48" s="48"/>
      <c r="IVG48" s="47"/>
      <c r="IVH48" s="62"/>
      <c r="IVI48" s="47"/>
      <c r="IVJ48" s="48"/>
      <c r="IVK48" s="47"/>
      <c r="IVL48" s="62"/>
      <c r="IVM48" s="47"/>
      <c r="IVN48" s="48"/>
      <c r="IVO48" s="47"/>
      <c r="IVP48" s="62"/>
      <c r="IVQ48" s="47"/>
      <c r="IVR48" s="48"/>
      <c r="IVS48" s="47"/>
      <c r="IVT48" s="62"/>
      <c r="IVU48" s="47"/>
      <c r="IVV48" s="48"/>
      <c r="IVW48" s="47"/>
      <c r="IVX48" s="62"/>
      <c r="IVY48" s="47"/>
      <c r="IVZ48" s="48"/>
      <c r="IWA48" s="47"/>
      <c r="IWB48" s="62"/>
      <c r="IWC48" s="47"/>
      <c r="IWD48" s="48"/>
      <c r="IWE48" s="47"/>
      <c r="IWF48" s="62"/>
      <c r="IWG48" s="47"/>
      <c r="IWH48" s="48"/>
      <c r="IWI48" s="47"/>
      <c r="IWJ48" s="62"/>
      <c r="IWK48" s="47"/>
      <c r="IWL48" s="48"/>
      <c r="IWM48" s="47"/>
      <c r="IWN48" s="62"/>
      <c r="IWO48" s="47"/>
      <c r="IWP48" s="48"/>
      <c r="IWQ48" s="47"/>
      <c r="IWR48" s="62"/>
      <c r="IWS48" s="47"/>
      <c r="IWT48" s="48"/>
      <c r="IWU48" s="47"/>
      <c r="IWV48" s="62"/>
      <c r="IWW48" s="47"/>
      <c r="IWX48" s="48"/>
      <c r="IWY48" s="47"/>
      <c r="IWZ48" s="62"/>
      <c r="IXA48" s="47"/>
      <c r="IXB48" s="48"/>
      <c r="IXC48" s="47"/>
      <c r="IXD48" s="62"/>
      <c r="IXE48" s="47"/>
      <c r="IXF48" s="48"/>
      <c r="IXG48" s="47"/>
      <c r="IXH48" s="62"/>
      <c r="IXI48" s="47"/>
      <c r="IXJ48" s="48"/>
      <c r="IXK48" s="47"/>
      <c r="IXL48" s="62"/>
      <c r="IXM48" s="47"/>
      <c r="IXN48" s="48"/>
      <c r="IXO48" s="47"/>
      <c r="IXP48" s="62"/>
      <c r="IXQ48" s="47"/>
      <c r="IXR48" s="48"/>
      <c r="IXS48" s="47"/>
      <c r="IXT48" s="62"/>
      <c r="IXU48" s="47"/>
      <c r="IXV48" s="48"/>
      <c r="IXW48" s="47"/>
      <c r="IXX48" s="62"/>
      <c r="IXY48" s="47"/>
      <c r="IXZ48" s="48"/>
      <c r="IYA48" s="47"/>
      <c r="IYB48" s="62"/>
      <c r="IYC48" s="47"/>
      <c r="IYD48" s="48"/>
      <c r="IYE48" s="47"/>
      <c r="IYF48" s="62"/>
      <c r="IYG48" s="47"/>
      <c r="IYH48" s="48"/>
      <c r="IYI48" s="47"/>
      <c r="IYJ48" s="62"/>
      <c r="IYK48" s="47"/>
      <c r="IYL48" s="48"/>
      <c r="IYM48" s="47"/>
      <c r="IYN48" s="62"/>
      <c r="IYO48" s="47"/>
      <c r="IYP48" s="48"/>
      <c r="IYQ48" s="47"/>
      <c r="IYR48" s="62"/>
      <c r="IYS48" s="47"/>
      <c r="IYT48" s="48"/>
      <c r="IYU48" s="47"/>
      <c r="IYV48" s="62"/>
      <c r="IYW48" s="47"/>
      <c r="IYX48" s="48"/>
      <c r="IYY48" s="47"/>
      <c r="IYZ48" s="62"/>
      <c r="IZA48" s="47"/>
      <c r="IZB48" s="48"/>
      <c r="IZC48" s="47"/>
      <c r="IZD48" s="62"/>
      <c r="IZE48" s="47"/>
      <c r="IZF48" s="48"/>
      <c r="IZG48" s="47"/>
      <c r="IZH48" s="62"/>
      <c r="IZI48" s="47"/>
      <c r="IZJ48" s="48"/>
      <c r="IZK48" s="47"/>
      <c r="IZL48" s="62"/>
      <c r="IZM48" s="47"/>
      <c r="IZN48" s="48"/>
      <c r="IZO48" s="47"/>
      <c r="IZP48" s="62"/>
      <c r="IZQ48" s="47"/>
      <c r="IZR48" s="48"/>
      <c r="IZS48" s="47"/>
      <c r="IZT48" s="62"/>
      <c r="IZU48" s="47"/>
      <c r="IZV48" s="48"/>
      <c r="IZW48" s="47"/>
      <c r="IZX48" s="62"/>
      <c r="IZY48" s="47"/>
      <c r="IZZ48" s="48"/>
      <c r="JAA48" s="47"/>
      <c r="JAB48" s="62"/>
      <c r="JAC48" s="47"/>
      <c r="JAD48" s="48"/>
      <c r="JAE48" s="47"/>
      <c r="JAF48" s="62"/>
      <c r="JAG48" s="47"/>
      <c r="JAH48" s="48"/>
      <c r="JAI48" s="47"/>
      <c r="JAJ48" s="62"/>
      <c r="JAK48" s="47"/>
      <c r="JAL48" s="48"/>
      <c r="JAM48" s="47"/>
      <c r="JAN48" s="62"/>
      <c r="JAO48" s="47"/>
      <c r="JAP48" s="48"/>
      <c r="JAQ48" s="47"/>
      <c r="JAR48" s="62"/>
      <c r="JAS48" s="47"/>
      <c r="JAT48" s="48"/>
      <c r="JAU48" s="47"/>
      <c r="JAV48" s="62"/>
      <c r="JAW48" s="47"/>
      <c r="JAX48" s="48"/>
      <c r="JAY48" s="47"/>
      <c r="JAZ48" s="62"/>
      <c r="JBA48" s="47"/>
      <c r="JBB48" s="48"/>
      <c r="JBC48" s="47"/>
      <c r="JBD48" s="62"/>
      <c r="JBE48" s="47"/>
      <c r="JBF48" s="48"/>
      <c r="JBG48" s="47"/>
      <c r="JBH48" s="62"/>
      <c r="JBI48" s="47"/>
      <c r="JBJ48" s="48"/>
      <c r="JBK48" s="47"/>
      <c r="JBL48" s="62"/>
      <c r="JBM48" s="47"/>
      <c r="JBN48" s="48"/>
      <c r="JBO48" s="47"/>
      <c r="JBP48" s="62"/>
      <c r="JBQ48" s="47"/>
      <c r="JBR48" s="48"/>
      <c r="JBS48" s="47"/>
      <c r="JBT48" s="62"/>
      <c r="JBU48" s="47"/>
      <c r="JBV48" s="48"/>
      <c r="JBW48" s="47"/>
      <c r="JBX48" s="62"/>
      <c r="JBY48" s="47"/>
      <c r="JBZ48" s="48"/>
      <c r="JCA48" s="47"/>
      <c r="JCB48" s="62"/>
      <c r="JCC48" s="47"/>
      <c r="JCD48" s="48"/>
      <c r="JCE48" s="47"/>
      <c r="JCF48" s="62"/>
      <c r="JCG48" s="47"/>
      <c r="JCH48" s="48"/>
      <c r="JCI48" s="47"/>
      <c r="JCJ48" s="62"/>
      <c r="JCK48" s="47"/>
      <c r="JCL48" s="48"/>
      <c r="JCM48" s="47"/>
      <c r="JCN48" s="62"/>
      <c r="JCO48" s="47"/>
      <c r="JCP48" s="48"/>
      <c r="JCQ48" s="47"/>
      <c r="JCR48" s="62"/>
      <c r="JCS48" s="47"/>
      <c r="JCT48" s="48"/>
      <c r="JCU48" s="47"/>
      <c r="JCV48" s="62"/>
      <c r="JCW48" s="47"/>
      <c r="JCX48" s="48"/>
      <c r="JCY48" s="47"/>
      <c r="JCZ48" s="62"/>
      <c r="JDA48" s="47"/>
      <c r="JDB48" s="48"/>
      <c r="JDC48" s="47"/>
      <c r="JDD48" s="62"/>
      <c r="JDE48" s="47"/>
      <c r="JDF48" s="48"/>
      <c r="JDG48" s="47"/>
      <c r="JDH48" s="62"/>
      <c r="JDI48" s="47"/>
      <c r="JDJ48" s="48"/>
      <c r="JDK48" s="47"/>
      <c r="JDL48" s="62"/>
      <c r="JDM48" s="47"/>
      <c r="JDN48" s="48"/>
      <c r="JDO48" s="47"/>
      <c r="JDP48" s="62"/>
      <c r="JDQ48" s="47"/>
      <c r="JDR48" s="48"/>
      <c r="JDS48" s="47"/>
      <c r="JDT48" s="62"/>
      <c r="JDU48" s="47"/>
      <c r="JDV48" s="48"/>
      <c r="JDW48" s="47"/>
      <c r="JDX48" s="62"/>
      <c r="JDY48" s="47"/>
      <c r="JDZ48" s="48"/>
      <c r="JEA48" s="47"/>
      <c r="JEB48" s="62"/>
      <c r="JEC48" s="47"/>
      <c r="JED48" s="48"/>
      <c r="JEE48" s="47"/>
      <c r="JEF48" s="62"/>
      <c r="JEG48" s="47"/>
      <c r="JEH48" s="48"/>
      <c r="JEI48" s="47"/>
      <c r="JEJ48" s="62"/>
      <c r="JEK48" s="47"/>
      <c r="JEL48" s="48"/>
      <c r="JEM48" s="47"/>
      <c r="JEN48" s="62"/>
      <c r="JEO48" s="47"/>
      <c r="JEP48" s="48"/>
      <c r="JEQ48" s="47"/>
      <c r="JER48" s="62"/>
      <c r="JES48" s="47"/>
      <c r="JET48" s="48"/>
      <c r="JEU48" s="47"/>
      <c r="JEV48" s="62"/>
      <c r="JEW48" s="47"/>
      <c r="JEX48" s="48"/>
      <c r="JEY48" s="47"/>
      <c r="JEZ48" s="62"/>
      <c r="JFA48" s="47"/>
      <c r="JFB48" s="48"/>
      <c r="JFC48" s="47"/>
      <c r="JFD48" s="62"/>
      <c r="JFE48" s="47"/>
      <c r="JFF48" s="48"/>
      <c r="JFG48" s="47"/>
      <c r="JFH48" s="62"/>
      <c r="JFI48" s="47"/>
      <c r="JFJ48" s="48"/>
      <c r="JFK48" s="47"/>
      <c r="JFL48" s="62"/>
      <c r="JFM48" s="47"/>
      <c r="JFN48" s="48"/>
      <c r="JFO48" s="47"/>
      <c r="JFP48" s="62"/>
      <c r="JFQ48" s="47"/>
      <c r="JFR48" s="48"/>
      <c r="JFS48" s="47"/>
      <c r="JFT48" s="62"/>
      <c r="JFU48" s="47"/>
      <c r="JFV48" s="48"/>
      <c r="JFW48" s="47"/>
      <c r="JFX48" s="62"/>
      <c r="JFY48" s="47"/>
      <c r="JFZ48" s="48"/>
      <c r="JGA48" s="47"/>
      <c r="JGB48" s="62"/>
      <c r="JGC48" s="47"/>
      <c r="JGD48" s="48"/>
      <c r="JGE48" s="47"/>
      <c r="JGF48" s="62"/>
      <c r="JGG48" s="47"/>
      <c r="JGH48" s="48"/>
      <c r="JGI48" s="47"/>
      <c r="JGJ48" s="62"/>
      <c r="JGK48" s="47"/>
      <c r="JGL48" s="48"/>
      <c r="JGM48" s="47"/>
      <c r="JGN48" s="62"/>
      <c r="JGO48" s="47"/>
      <c r="JGP48" s="48"/>
      <c r="JGQ48" s="47"/>
      <c r="JGR48" s="62"/>
      <c r="JGS48" s="47"/>
      <c r="JGT48" s="48"/>
      <c r="JGU48" s="47"/>
      <c r="JGV48" s="62"/>
      <c r="JGW48" s="47"/>
      <c r="JGX48" s="48"/>
      <c r="JGY48" s="47"/>
      <c r="JGZ48" s="62"/>
      <c r="JHA48" s="47"/>
      <c r="JHB48" s="48"/>
      <c r="JHC48" s="47"/>
      <c r="JHD48" s="62"/>
      <c r="JHE48" s="47"/>
      <c r="JHF48" s="48"/>
      <c r="JHG48" s="47"/>
      <c r="JHH48" s="62"/>
      <c r="JHI48" s="47"/>
      <c r="JHJ48" s="48"/>
      <c r="JHK48" s="47"/>
      <c r="JHL48" s="62"/>
      <c r="JHM48" s="47"/>
      <c r="JHN48" s="48"/>
      <c r="JHO48" s="47"/>
      <c r="JHP48" s="62"/>
      <c r="JHQ48" s="47"/>
      <c r="JHR48" s="48"/>
      <c r="JHS48" s="47"/>
      <c r="JHT48" s="62"/>
      <c r="JHU48" s="47"/>
      <c r="JHV48" s="48"/>
      <c r="JHW48" s="47"/>
      <c r="JHX48" s="62"/>
      <c r="JHY48" s="47"/>
      <c r="JHZ48" s="48"/>
      <c r="JIA48" s="47"/>
      <c r="JIB48" s="62"/>
      <c r="JIC48" s="47"/>
      <c r="JID48" s="48"/>
      <c r="JIE48" s="47"/>
      <c r="JIF48" s="62"/>
      <c r="JIG48" s="47"/>
      <c r="JIH48" s="48"/>
      <c r="JII48" s="47"/>
      <c r="JIJ48" s="62"/>
      <c r="JIK48" s="47"/>
      <c r="JIL48" s="48"/>
      <c r="JIM48" s="47"/>
      <c r="JIN48" s="62"/>
      <c r="JIO48" s="47"/>
      <c r="JIP48" s="48"/>
      <c r="JIQ48" s="47"/>
      <c r="JIR48" s="62"/>
      <c r="JIS48" s="47"/>
      <c r="JIT48" s="48"/>
      <c r="JIU48" s="47"/>
      <c r="JIV48" s="62"/>
      <c r="JIW48" s="47"/>
      <c r="JIX48" s="48"/>
      <c r="JIY48" s="47"/>
      <c r="JIZ48" s="62"/>
      <c r="JJA48" s="47"/>
      <c r="JJB48" s="48"/>
      <c r="JJC48" s="47"/>
      <c r="JJD48" s="62"/>
      <c r="JJE48" s="47"/>
      <c r="JJF48" s="48"/>
      <c r="JJG48" s="47"/>
      <c r="JJH48" s="62"/>
      <c r="JJI48" s="47"/>
      <c r="JJJ48" s="48"/>
      <c r="JJK48" s="47"/>
      <c r="JJL48" s="62"/>
      <c r="JJM48" s="47"/>
      <c r="JJN48" s="48"/>
      <c r="JJO48" s="47"/>
      <c r="JJP48" s="62"/>
      <c r="JJQ48" s="47"/>
      <c r="JJR48" s="48"/>
      <c r="JJS48" s="47"/>
      <c r="JJT48" s="62"/>
      <c r="JJU48" s="47"/>
      <c r="JJV48" s="48"/>
      <c r="JJW48" s="47"/>
      <c r="JJX48" s="62"/>
      <c r="JJY48" s="47"/>
      <c r="JJZ48" s="48"/>
      <c r="JKA48" s="47"/>
      <c r="JKB48" s="62"/>
      <c r="JKC48" s="47"/>
      <c r="JKD48" s="48"/>
      <c r="JKE48" s="47"/>
      <c r="JKF48" s="62"/>
      <c r="JKG48" s="47"/>
      <c r="JKH48" s="48"/>
      <c r="JKI48" s="47"/>
      <c r="JKJ48" s="62"/>
      <c r="JKK48" s="47"/>
      <c r="JKL48" s="48"/>
      <c r="JKM48" s="47"/>
      <c r="JKN48" s="62"/>
      <c r="JKO48" s="47"/>
      <c r="JKP48" s="48"/>
      <c r="JKQ48" s="47"/>
      <c r="JKR48" s="62"/>
      <c r="JKS48" s="47"/>
      <c r="JKT48" s="48"/>
      <c r="JKU48" s="47"/>
      <c r="JKV48" s="62"/>
      <c r="JKW48" s="47"/>
      <c r="JKX48" s="48"/>
      <c r="JKY48" s="47"/>
      <c r="JKZ48" s="62"/>
      <c r="JLA48" s="47"/>
      <c r="JLB48" s="48"/>
      <c r="JLC48" s="47"/>
      <c r="JLD48" s="62"/>
      <c r="JLE48" s="47"/>
      <c r="JLF48" s="48"/>
      <c r="JLG48" s="47"/>
      <c r="JLH48" s="62"/>
      <c r="JLI48" s="47"/>
      <c r="JLJ48" s="48"/>
      <c r="JLK48" s="47"/>
      <c r="JLL48" s="62"/>
      <c r="JLM48" s="47"/>
      <c r="JLN48" s="48"/>
      <c r="JLO48" s="47"/>
      <c r="JLP48" s="62"/>
      <c r="JLQ48" s="47"/>
      <c r="JLR48" s="48"/>
      <c r="JLS48" s="47"/>
      <c r="JLT48" s="62"/>
      <c r="JLU48" s="47"/>
      <c r="JLV48" s="48"/>
      <c r="JLW48" s="47"/>
      <c r="JLX48" s="62"/>
      <c r="JLY48" s="47"/>
      <c r="JLZ48" s="48"/>
      <c r="JMA48" s="47"/>
      <c r="JMB48" s="62"/>
      <c r="JMC48" s="47"/>
      <c r="JMD48" s="48"/>
      <c r="JME48" s="47"/>
      <c r="JMF48" s="62"/>
      <c r="JMG48" s="47"/>
      <c r="JMH48" s="48"/>
      <c r="JMI48" s="47"/>
      <c r="JMJ48" s="62"/>
      <c r="JMK48" s="47"/>
      <c r="JML48" s="48"/>
      <c r="JMM48" s="47"/>
      <c r="JMN48" s="62"/>
      <c r="JMO48" s="47"/>
      <c r="JMP48" s="48"/>
      <c r="JMQ48" s="47"/>
      <c r="JMR48" s="62"/>
      <c r="JMS48" s="47"/>
      <c r="JMT48" s="48"/>
      <c r="JMU48" s="47"/>
      <c r="JMV48" s="62"/>
      <c r="JMW48" s="47"/>
      <c r="JMX48" s="48"/>
      <c r="JMY48" s="47"/>
      <c r="JMZ48" s="62"/>
      <c r="JNA48" s="47"/>
      <c r="JNB48" s="48"/>
      <c r="JNC48" s="47"/>
      <c r="JND48" s="62"/>
      <c r="JNE48" s="47"/>
      <c r="JNF48" s="48"/>
      <c r="JNG48" s="47"/>
      <c r="JNH48" s="62"/>
      <c r="JNI48" s="47"/>
      <c r="JNJ48" s="48"/>
      <c r="JNK48" s="47"/>
      <c r="JNL48" s="62"/>
      <c r="JNM48" s="47"/>
      <c r="JNN48" s="48"/>
      <c r="JNO48" s="47"/>
      <c r="JNP48" s="62"/>
      <c r="JNQ48" s="47"/>
      <c r="JNR48" s="48"/>
      <c r="JNS48" s="47"/>
      <c r="JNT48" s="62"/>
      <c r="JNU48" s="47"/>
      <c r="JNV48" s="48"/>
      <c r="JNW48" s="47"/>
      <c r="JNX48" s="62"/>
      <c r="JNY48" s="47"/>
      <c r="JNZ48" s="48"/>
      <c r="JOA48" s="47"/>
      <c r="JOB48" s="62"/>
      <c r="JOC48" s="47"/>
      <c r="JOD48" s="48"/>
      <c r="JOE48" s="47"/>
      <c r="JOF48" s="62"/>
      <c r="JOG48" s="47"/>
      <c r="JOH48" s="48"/>
      <c r="JOI48" s="47"/>
      <c r="JOJ48" s="62"/>
      <c r="JOK48" s="47"/>
      <c r="JOL48" s="48"/>
      <c r="JOM48" s="47"/>
      <c r="JON48" s="62"/>
      <c r="JOO48" s="47"/>
      <c r="JOP48" s="48"/>
      <c r="JOQ48" s="47"/>
      <c r="JOR48" s="62"/>
      <c r="JOS48" s="47"/>
      <c r="JOT48" s="48"/>
      <c r="JOU48" s="47"/>
      <c r="JOV48" s="62"/>
      <c r="JOW48" s="47"/>
      <c r="JOX48" s="48"/>
      <c r="JOY48" s="47"/>
      <c r="JOZ48" s="62"/>
      <c r="JPA48" s="47"/>
      <c r="JPB48" s="48"/>
      <c r="JPC48" s="47"/>
      <c r="JPD48" s="62"/>
      <c r="JPE48" s="47"/>
      <c r="JPF48" s="48"/>
      <c r="JPG48" s="47"/>
      <c r="JPH48" s="62"/>
      <c r="JPI48" s="47"/>
      <c r="JPJ48" s="48"/>
      <c r="JPK48" s="47"/>
      <c r="JPL48" s="62"/>
      <c r="JPM48" s="47"/>
      <c r="JPN48" s="48"/>
      <c r="JPO48" s="47"/>
      <c r="JPP48" s="62"/>
      <c r="JPQ48" s="47"/>
      <c r="JPR48" s="48"/>
      <c r="JPS48" s="47"/>
      <c r="JPT48" s="62"/>
      <c r="JPU48" s="47"/>
      <c r="JPV48" s="48"/>
      <c r="JPW48" s="47"/>
      <c r="JPX48" s="62"/>
      <c r="JPY48" s="47"/>
      <c r="JPZ48" s="48"/>
      <c r="JQA48" s="47"/>
      <c r="JQB48" s="62"/>
      <c r="JQC48" s="47"/>
      <c r="JQD48" s="48"/>
      <c r="JQE48" s="47"/>
      <c r="JQF48" s="62"/>
      <c r="JQG48" s="47"/>
      <c r="JQH48" s="48"/>
      <c r="JQI48" s="47"/>
      <c r="JQJ48" s="62"/>
      <c r="JQK48" s="47"/>
      <c r="JQL48" s="48"/>
      <c r="JQM48" s="47"/>
      <c r="JQN48" s="62"/>
      <c r="JQO48" s="47"/>
      <c r="JQP48" s="48"/>
      <c r="JQQ48" s="47"/>
      <c r="JQR48" s="62"/>
      <c r="JQS48" s="47"/>
      <c r="JQT48" s="48"/>
      <c r="JQU48" s="47"/>
      <c r="JQV48" s="62"/>
      <c r="JQW48" s="47"/>
      <c r="JQX48" s="48"/>
      <c r="JQY48" s="47"/>
      <c r="JQZ48" s="62"/>
      <c r="JRA48" s="47"/>
      <c r="JRB48" s="48"/>
      <c r="JRC48" s="47"/>
      <c r="JRD48" s="62"/>
      <c r="JRE48" s="47"/>
      <c r="JRF48" s="48"/>
      <c r="JRG48" s="47"/>
      <c r="JRH48" s="62"/>
      <c r="JRI48" s="47"/>
      <c r="JRJ48" s="48"/>
      <c r="JRK48" s="47"/>
      <c r="JRL48" s="62"/>
      <c r="JRM48" s="47"/>
      <c r="JRN48" s="48"/>
      <c r="JRO48" s="47"/>
      <c r="JRP48" s="62"/>
      <c r="JRQ48" s="47"/>
      <c r="JRR48" s="48"/>
      <c r="JRS48" s="47"/>
      <c r="JRT48" s="62"/>
      <c r="JRU48" s="47"/>
      <c r="JRV48" s="48"/>
      <c r="JRW48" s="47"/>
      <c r="JRX48" s="62"/>
      <c r="JRY48" s="47"/>
      <c r="JRZ48" s="48"/>
      <c r="JSA48" s="47"/>
      <c r="JSB48" s="62"/>
      <c r="JSC48" s="47"/>
      <c r="JSD48" s="48"/>
      <c r="JSE48" s="47"/>
      <c r="JSF48" s="62"/>
      <c r="JSG48" s="47"/>
      <c r="JSH48" s="48"/>
      <c r="JSI48" s="47"/>
      <c r="JSJ48" s="62"/>
      <c r="JSK48" s="47"/>
      <c r="JSL48" s="48"/>
      <c r="JSM48" s="47"/>
      <c r="JSN48" s="62"/>
      <c r="JSO48" s="47"/>
      <c r="JSP48" s="48"/>
      <c r="JSQ48" s="47"/>
      <c r="JSR48" s="62"/>
      <c r="JSS48" s="47"/>
      <c r="JST48" s="48"/>
      <c r="JSU48" s="47"/>
      <c r="JSV48" s="62"/>
      <c r="JSW48" s="47"/>
      <c r="JSX48" s="48"/>
      <c r="JSY48" s="47"/>
      <c r="JSZ48" s="62"/>
      <c r="JTA48" s="47"/>
      <c r="JTB48" s="48"/>
      <c r="JTC48" s="47"/>
      <c r="JTD48" s="62"/>
      <c r="JTE48" s="47"/>
      <c r="JTF48" s="48"/>
      <c r="JTG48" s="47"/>
      <c r="JTH48" s="62"/>
      <c r="JTI48" s="47"/>
      <c r="JTJ48" s="48"/>
      <c r="JTK48" s="47"/>
      <c r="JTL48" s="62"/>
      <c r="JTM48" s="47"/>
      <c r="JTN48" s="48"/>
      <c r="JTO48" s="47"/>
      <c r="JTP48" s="62"/>
      <c r="JTQ48" s="47"/>
      <c r="JTR48" s="48"/>
      <c r="JTS48" s="47"/>
      <c r="JTT48" s="62"/>
      <c r="JTU48" s="47"/>
      <c r="JTV48" s="48"/>
      <c r="JTW48" s="47"/>
      <c r="JTX48" s="62"/>
      <c r="JTY48" s="47"/>
      <c r="JTZ48" s="48"/>
      <c r="JUA48" s="47"/>
      <c r="JUB48" s="62"/>
      <c r="JUC48" s="47"/>
      <c r="JUD48" s="48"/>
      <c r="JUE48" s="47"/>
      <c r="JUF48" s="62"/>
      <c r="JUG48" s="47"/>
      <c r="JUH48" s="48"/>
      <c r="JUI48" s="47"/>
      <c r="JUJ48" s="62"/>
      <c r="JUK48" s="47"/>
      <c r="JUL48" s="48"/>
      <c r="JUM48" s="47"/>
      <c r="JUN48" s="62"/>
      <c r="JUO48" s="47"/>
      <c r="JUP48" s="48"/>
      <c r="JUQ48" s="47"/>
      <c r="JUR48" s="62"/>
      <c r="JUS48" s="47"/>
      <c r="JUT48" s="48"/>
      <c r="JUU48" s="47"/>
      <c r="JUV48" s="62"/>
      <c r="JUW48" s="47"/>
      <c r="JUX48" s="48"/>
      <c r="JUY48" s="47"/>
      <c r="JUZ48" s="62"/>
      <c r="JVA48" s="47"/>
      <c r="JVB48" s="48"/>
      <c r="JVC48" s="47"/>
      <c r="JVD48" s="62"/>
      <c r="JVE48" s="47"/>
      <c r="JVF48" s="48"/>
      <c r="JVG48" s="47"/>
      <c r="JVH48" s="62"/>
      <c r="JVI48" s="47"/>
      <c r="JVJ48" s="48"/>
      <c r="JVK48" s="47"/>
      <c r="JVL48" s="62"/>
      <c r="JVM48" s="47"/>
      <c r="JVN48" s="48"/>
      <c r="JVO48" s="47"/>
      <c r="JVP48" s="62"/>
      <c r="JVQ48" s="47"/>
      <c r="JVR48" s="48"/>
      <c r="JVS48" s="47"/>
      <c r="JVT48" s="62"/>
      <c r="JVU48" s="47"/>
      <c r="JVV48" s="48"/>
      <c r="JVW48" s="47"/>
      <c r="JVX48" s="62"/>
      <c r="JVY48" s="47"/>
      <c r="JVZ48" s="48"/>
      <c r="JWA48" s="47"/>
      <c r="JWB48" s="62"/>
      <c r="JWC48" s="47"/>
      <c r="JWD48" s="48"/>
      <c r="JWE48" s="47"/>
      <c r="JWF48" s="62"/>
      <c r="JWG48" s="47"/>
      <c r="JWH48" s="48"/>
      <c r="JWI48" s="47"/>
      <c r="JWJ48" s="62"/>
      <c r="JWK48" s="47"/>
      <c r="JWL48" s="48"/>
      <c r="JWM48" s="47"/>
      <c r="JWN48" s="62"/>
      <c r="JWO48" s="47"/>
      <c r="JWP48" s="48"/>
      <c r="JWQ48" s="47"/>
      <c r="JWR48" s="62"/>
      <c r="JWS48" s="47"/>
      <c r="JWT48" s="48"/>
      <c r="JWU48" s="47"/>
      <c r="JWV48" s="62"/>
      <c r="JWW48" s="47"/>
      <c r="JWX48" s="48"/>
      <c r="JWY48" s="47"/>
      <c r="JWZ48" s="62"/>
      <c r="JXA48" s="47"/>
      <c r="JXB48" s="48"/>
      <c r="JXC48" s="47"/>
      <c r="JXD48" s="62"/>
      <c r="JXE48" s="47"/>
      <c r="JXF48" s="48"/>
      <c r="JXG48" s="47"/>
      <c r="JXH48" s="62"/>
      <c r="JXI48" s="47"/>
      <c r="JXJ48" s="48"/>
      <c r="JXK48" s="47"/>
      <c r="JXL48" s="62"/>
      <c r="JXM48" s="47"/>
      <c r="JXN48" s="48"/>
      <c r="JXO48" s="47"/>
      <c r="JXP48" s="62"/>
      <c r="JXQ48" s="47"/>
      <c r="JXR48" s="48"/>
      <c r="JXS48" s="47"/>
      <c r="JXT48" s="62"/>
      <c r="JXU48" s="47"/>
      <c r="JXV48" s="48"/>
      <c r="JXW48" s="47"/>
      <c r="JXX48" s="62"/>
      <c r="JXY48" s="47"/>
      <c r="JXZ48" s="48"/>
      <c r="JYA48" s="47"/>
      <c r="JYB48" s="62"/>
      <c r="JYC48" s="47"/>
      <c r="JYD48" s="48"/>
      <c r="JYE48" s="47"/>
      <c r="JYF48" s="62"/>
      <c r="JYG48" s="47"/>
      <c r="JYH48" s="48"/>
      <c r="JYI48" s="47"/>
      <c r="JYJ48" s="62"/>
      <c r="JYK48" s="47"/>
      <c r="JYL48" s="48"/>
      <c r="JYM48" s="47"/>
      <c r="JYN48" s="62"/>
      <c r="JYO48" s="47"/>
      <c r="JYP48" s="48"/>
      <c r="JYQ48" s="47"/>
      <c r="JYR48" s="62"/>
      <c r="JYS48" s="47"/>
      <c r="JYT48" s="48"/>
      <c r="JYU48" s="47"/>
      <c r="JYV48" s="62"/>
      <c r="JYW48" s="47"/>
      <c r="JYX48" s="48"/>
      <c r="JYY48" s="47"/>
      <c r="JYZ48" s="62"/>
      <c r="JZA48" s="47"/>
      <c r="JZB48" s="48"/>
      <c r="JZC48" s="47"/>
      <c r="JZD48" s="62"/>
      <c r="JZE48" s="47"/>
      <c r="JZF48" s="48"/>
      <c r="JZG48" s="47"/>
      <c r="JZH48" s="62"/>
      <c r="JZI48" s="47"/>
      <c r="JZJ48" s="48"/>
      <c r="JZK48" s="47"/>
      <c r="JZL48" s="62"/>
      <c r="JZM48" s="47"/>
      <c r="JZN48" s="48"/>
      <c r="JZO48" s="47"/>
      <c r="JZP48" s="62"/>
      <c r="JZQ48" s="47"/>
      <c r="JZR48" s="48"/>
      <c r="JZS48" s="47"/>
      <c r="JZT48" s="62"/>
      <c r="JZU48" s="47"/>
      <c r="JZV48" s="48"/>
      <c r="JZW48" s="47"/>
      <c r="JZX48" s="62"/>
      <c r="JZY48" s="47"/>
      <c r="JZZ48" s="48"/>
      <c r="KAA48" s="47"/>
      <c r="KAB48" s="62"/>
      <c r="KAC48" s="47"/>
      <c r="KAD48" s="48"/>
      <c r="KAE48" s="47"/>
      <c r="KAF48" s="62"/>
      <c r="KAG48" s="47"/>
      <c r="KAH48" s="48"/>
      <c r="KAI48" s="47"/>
      <c r="KAJ48" s="62"/>
      <c r="KAK48" s="47"/>
      <c r="KAL48" s="48"/>
      <c r="KAM48" s="47"/>
      <c r="KAN48" s="62"/>
      <c r="KAO48" s="47"/>
      <c r="KAP48" s="48"/>
      <c r="KAQ48" s="47"/>
      <c r="KAR48" s="62"/>
      <c r="KAS48" s="47"/>
      <c r="KAT48" s="48"/>
      <c r="KAU48" s="47"/>
      <c r="KAV48" s="62"/>
      <c r="KAW48" s="47"/>
      <c r="KAX48" s="48"/>
      <c r="KAY48" s="47"/>
      <c r="KAZ48" s="62"/>
      <c r="KBA48" s="47"/>
      <c r="KBB48" s="48"/>
      <c r="KBC48" s="47"/>
      <c r="KBD48" s="62"/>
      <c r="KBE48" s="47"/>
      <c r="KBF48" s="48"/>
      <c r="KBG48" s="47"/>
      <c r="KBH48" s="62"/>
      <c r="KBI48" s="47"/>
      <c r="KBJ48" s="48"/>
      <c r="KBK48" s="47"/>
      <c r="KBL48" s="62"/>
      <c r="KBM48" s="47"/>
      <c r="KBN48" s="48"/>
      <c r="KBO48" s="47"/>
      <c r="KBP48" s="62"/>
      <c r="KBQ48" s="47"/>
      <c r="KBR48" s="48"/>
      <c r="KBS48" s="47"/>
      <c r="KBT48" s="62"/>
      <c r="KBU48" s="47"/>
      <c r="KBV48" s="48"/>
      <c r="KBW48" s="47"/>
      <c r="KBX48" s="62"/>
      <c r="KBY48" s="47"/>
      <c r="KBZ48" s="48"/>
      <c r="KCA48" s="47"/>
      <c r="KCB48" s="62"/>
      <c r="KCC48" s="47"/>
      <c r="KCD48" s="48"/>
      <c r="KCE48" s="47"/>
      <c r="KCF48" s="62"/>
      <c r="KCG48" s="47"/>
      <c r="KCH48" s="48"/>
      <c r="KCI48" s="47"/>
      <c r="KCJ48" s="62"/>
      <c r="KCK48" s="47"/>
      <c r="KCL48" s="48"/>
      <c r="KCM48" s="47"/>
      <c r="KCN48" s="62"/>
      <c r="KCO48" s="47"/>
      <c r="KCP48" s="48"/>
      <c r="KCQ48" s="47"/>
      <c r="KCR48" s="62"/>
      <c r="KCS48" s="47"/>
      <c r="KCT48" s="48"/>
      <c r="KCU48" s="47"/>
      <c r="KCV48" s="62"/>
      <c r="KCW48" s="47"/>
      <c r="KCX48" s="48"/>
      <c r="KCY48" s="47"/>
      <c r="KCZ48" s="62"/>
      <c r="KDA48" s="47"/>
      <c r="KDB48" s="48"/>
      <c r="KDC48" s="47"/>
      <c r="KDD48" s="62"/>
      <c r="KDE48" s="47"/>
      <c r="KDF48" s="48"/>
      <c r="KDG48" s="47"/>
      <c r="KDH48" s="62"/>
      <c r="KDI48" s="47"/>
      <c r="KDJ48" s="48"/>
      <c r="KDK48" s="47"/>
      <c r="KDL48" s="62"/>
      <c r="KDM48" s="47"/>
      <c r="KDN48" s="48"/>
      <c r="KDO48" s="47"/>
      <c r="KDP48" s="62"/>
      <c r="KDQ48" s="47"/>
      <c r="KDR48" s="48"/>
      <c r="KDS48" s="47"/>
      <c r="KDT48" s="62"/>
      <c r="KDU48" s="47"/>
      <c r="KDV48" s="48"/>
      <c r="KDW48" s="47"/>
      <c r="KDX48" s="62"/>
      <c r="KDY48" s="47"/>
      <c r="KDZ48" s="48"/>
      <c r="KEA48" s="47"/>
      <c r="KEB48" s="62"/>
      <c r="KEC48" s="47"/>
      <c r="KED48" s="48"/>
      <c r="KEE48" s="47"/>
      <c r="KEF48" s="62"/>
      <c r="KEG48" s="47"/>
      <c r="KEH48" s="48"/>
      <c r="KEI48" s="47"/>
      <c r="KEJ48" s="62"/>
      <c r="KEK48" s="47"/>
      <c r="KEL48" s="48"/>
      <c r="KEM48" s="47"/>
      <c r="KEN48" s="62"/>
      <c r="KEO48" s="47"/>
      <c r="KEP48" s="48"/>
      <c r="KEQ48" s="47"/>
      <c r="KER48" s="62"/>
      <c r="KES48" s="47"/>
      <c r="KET48" s="48"/>
      <c r="KEU48" s="47"/>
      <c r="KEV48" s="62"/>
      <c r="KEW48" s="47"/>
      <c r="KEX48" s="48"/>
      <c r="KEY48" s="47"/>
      <c r="KEZ48" s="62"/>
      <c r="KFA48" s="47"/>
      <c r="KFB48" s="48"/>
      <c r="KFC48" s="47"/>
      <c r="KFD48" s="62"/>
      <c r="KFE48" s="47"/>
      <c r="KFF48" s="48"/>
      <c r="KFG48" s="47"/>
      <c r="KFH48" s="62"/>
      <c r="KFI48" s="47"/>
      <c r="KFJ48" s="48"/>
      <c r="KFK48" s="47"/>
      <c r="KFL48" s="62"/>
      <c r="KFM48" s="47"/>
      <c r="KFN48" s="48"/>
      <c r="KFO48" s="47"/>
      <c r="KFP48" s="62"/>
      <c r="KFQ48" s="47"/>
      <c r="KFR48" s="48"/>
      <c r="KFS48" s="47"/>
      <c r="KFT48" s="62"/>
      <c r="KFU48" s="47"/>
      <c r="KFV48" s="48"/>
      <c r="KFW48" s="47"/>
      <c r="KFX48" s="62"/>
      <c r="KFY48" s="47"/>
      <c r="KFZ48" s="48"/>
      <c r="KGA48" s="47"/>
      <c r="KGB48" s="62"/>
      <c r="KGC48" s="47"/>
      <c r="KGD48" s="48"/>
      <c r="KGE48" s="47"/>
      <c r="KGF48" s="62"/>
      <c r="KGG48" s="47"/>
      <c r="KGH48" s="48"/>
      <c r="KGI48" s="47"/>
      <c r="KGJ48" s="62"/>
      <c r="KGK48" s="47"/>
      <c r="KGL48" s="48"/>
      <c r="KGM48" s="47"/>
      <c r="KGN48" s="62"/>
      <c r="KGO48" s="47"/>
      <c r="KGP48" s="48"/>
      <c r="KGQ48" s="47"/>
      <c r="KGR48" s="62"/>
      <c r="KGS48" s="47"/>
      <c r="KGT48" s="48"/>
      <c r="KGU48" s="47"/>
      <c r="KGV48" s="62"/>
      <c r="KGW48" s="47"/>
      <c r="KGX48" s="48"/>
      <c r="KGY48" s="47"/>
      <c r="KGZ48" s="62"/>
      <c r="KHA48" s="47"/>
      <c r="KHB48" s="48"/>
      <c r="KHC48" s="47"/>
      <c r="KHD48" s="62"/>
      <c r="KHE48" s="47"/>
      <c r="KHF48" s="48"/>
      <c r="KHG48" s="47"/>
      <c r="KHH48" s="62"/>
      <c r="KHI48" s="47"/>
      <c r="KHJ48" s="48"/>
      <c r="KHK48" s="47"/>
      <c r="KHL48" s="62"/>
      <c r="KHM48" s="47"/>
      <c r="KHN48" s="48"/>
      <c r="KHO48" s="47"/>
      <c r="KHP48" s="62"/>
      <c r="KHQ48" s="47"/>
      <c r="KHR48" s="48"/>
      <c r="KHS48" s="47"/>
      <c r="KHT48" s="62"/>
      <c r="KHU48" s="47"/>
      <c r="KHV48" s="48"/>
      <c r="KHW48" s="47"/>
      <c r="KHX48" s="62"/>
      <c r="KHY48" s="47"/>
      <c r="KHZ48" s="48"/>
      <c r="KIA48" s="47"/>
      <c r="KIB48" s="62"/>
      <c r="KIC48" s="47"/>
      <c r="KID48" s="48"/>
      <c r="KIE48" s="47"/>
      <c r="KIF48" s="62"/>
      <c r="KIG48" s="47"/>
      <c r="KIH48" s="48"/>
      <c r="KII48" s="47"/>
      <c r="KIJ48" s="62"/>
      <c r="KIK48" s="47"/>
      <c r="KIL48" s="48"/>
      <c r="KIM48" s="47"/>
      <c r="KIN48" s="62"/>
      <c r="KIO48" s="47"/>
      <c r="KIP48" s="48"/>
      <c r="KIQ48" s="47"/>
      <c r="KIR48" s="62"/>
      <c r="KIS48" s="47"/>
      <c r="KIT48" s="48"/>
      <c r="KIU48" s="47"/>
      <c r="KIV48" s="62"/>
      <c r="KIW48" s="47"/>
      <c r="KIX48" s="48"/>
      <c r="KIY48" s="47"/>
      <c r="KIZ48" s="62"/>
      <c r="KJA48" s="47"/>
      <c r="KJB48" s="48"/>
      <c r="KJC48" s="47"/>
      <c r="KJD48" s="62"/>
      <c r="KJE48" s="47"/>
      <c r="KJF48" s="48"/>
      <c r="KJG48" s="47"/>
      <c r="KJH48" s="62"/>
      <c r="KJI48" s="47"/>
      <c r="KJJ48" s="48"/>
      <c r="KJK48" s="47"/>
      <c r="KJL48" s="62"/>
      <c r="KJM48" s="47"/>
      <c r="KJN48" s="48"/>
      <c r="KJO48" s="47"/>
      <c r="KJP48" s="62"/>
      <c r="KJQ48" s="47"/>
      <c r="KJR48" s="48"/>
      <c r="KJS48" s="47"/>
      <c r="KJT48" s="62"/>
      <c r="KJU48" s="47"/>
      <c r="KJV48" s="48"/>
      <c r="KJW48" s="47"/>
      <c r="KJX48" s="62"/>
      <c r="KJY48" s="47"/>
      <c r="KJZ48" s="48"/>
      <c r="KKA48" s="47"/>
      <c r="KKB48" s="62"/>
      <c r="KKC48" s="47"/>
      <c r="KKD48" s="48"/>
      <c r="KKE48" s="47"/>
      <c r="KKF48" s="62"/>
      <c r="KKG48" s="47"/>
      <c r="KKH48" s="48"/>
      <c r="KKI48" s="47"/>
      <c r="KKJ48" s="62"/>
      <c r="KKK48" s="47"/>
      <c r="KKL48" s="48"/>
      <c r="KKM48" s="47"/>
      <c r="KKN48" s="62"/>
      <c r="KKO48" s="47"/>
      <c r="KKP48" s="48"/>
      <c r="KKQ48" s="47"/>
      <c r="KKR48" s="62"/>
      <c r="KKS48" s="47"/>
      <c r="KKT48" s="48"/>
      <c r="KKU48" s="47"/>
      <c r="KKV48" s="62"/>
      <c r="KKW48" s="47"/>
      <c r="KKX48" s="48"/>
      <c r="KKY48" s="47"/>
      <c r="KKZ48" s="62"/>
      <c r="KLA48" s="47"/>
      <c r="KLB48" s="48"/>
      <c r="KLC48" s="47"/>
      <c r="KLD48" s="62"/>
      <c r="KLE48" s="47"/>
      <c r="KLF48" s="48"/>
      <c r="KLG48" s="47"/>
      <c r="KLH48" s="62"/>
      <c r="KLI48" s="47"/>
      <c r="KLJ48" s="48"/>
      <c r="KLK48" s="47"/>
      <c r="KLL48" s="62"/>
      <c r="KLM48" s="47"/>
      <c r="KLN48" s="48"/>
      <c r="KLO48" s="47"/>
      <c r="KLP48" s="62"/>
      <c r="KLQ48" s="47"/>
      <c r="KLR48" s="48"/>
      <c r="KLS48" s="47"/>
      <c r="KLT48" s="62"/>
      <c r="KLU48" s="47"/>
      <c r="KLV48" s="48"/>
      <c r="KLW48" s="47"/>
      <c r="KLX48" s="62"/>
      <c r="KLY48" s="47"/>
      <c r="KLZ48" s="48"/>
      <c r="KMA48" s="47"/>
      <c r="KMB48" s="62"/>
      <c r="KMC48" s="47"/>
      <c r="KMD48" s="48"/>
      <c r="KME48" s="47"/>
      <c r="KMF48" s="62"/>
      <c r="KMG48" s="47"/>
      <c r="KMH48" s="48"/>
      <c r="KMI48" s="47"/>
      <c r="KMJ48" s="62"/>
      <c r="KMK48" s="47"/>
      <c r="KML48" s="48"/>
      <c r="KMM48" s="47"/>
      <c r="KMN48" s="62"/>
      <c r="KMO48" s="47"/>
      <c r="KMP48" s="48"/>
      <c r="KMQ48" s="47"/>
      <c r="KMR48" s="62"/>
      <c r="KMS48" s="47"/>
      <c r="KMT48" s="48"/>
      <c r="KMU48" s="47"/>
      <c r="KMV48" s="62"/>
      <c r="KMW48" s="47"/>
      <c r="KMX48" s="48"/>
      <c r="KMY48" s="47"/>
      <c r="KMZ48" s="62"/>
      <c r="KNA48" s="47"/>
      <c r="KNB48" s="48"/>
      <c r="KNC48" s="47"/>
      <c r="KND48" s="62"/>
      <c r="KNE48" s="47"/>
      <c r="KNF48" s="48"/>
      <c r="KNG48" s="47"/>
      <c r="KNH48" s="62"/>
      <c r="KNI48" s="47"/>
      <c r="KNJ48" s="48"/>
      <c r="KNK48" s="47"/>
      <c r="KNL48" s="62"/>
      <c r="KNM48" s="47"/>
      <c r="KNN48" s="48"/>
      <c r="KNO48" s="47"/>
      <c r="KNP48" s="62"/>
      <c r="KNQ48" s="47"/>
      <c r="KNR48" s="48"/>
      <c r="KNS48" s="47"/>
      <c r="KNT48" s="62"/>
      <c r="KNU48" s="47"/>
      <c r="KNV48" s="48"/>
      <c r="KNW48" s="47"/>
      <c r="KNX48" s="62"/>
      <c r="KNY48" s="47"/>
      <c r="KNZ48" s="48"/>
      <c r="KOA48" s="47"/>
      <c r="KOB48" s="62"/>
      <c r="KOC48" s="47"/>
      <c r="KOD48" s="48"/>
      <c r="KOE48" s="47"/>
      <c r="KOF48" s="62"/>
      <c r="KOG48" s="47"/>
      <c r="KOH48" s="48"/>
      <c r="KOI48" s="47"/>
      <c r="KOJ48" s="62"/>
      <c r="KOK48" s="47"/>
      <c r="KOL48" s="48"/>
      <c r="KOM48" s="47"/>
      <c r="KON48" s="62"/>
      <c r="KOO48" s="47"/>
      <c r="KOP48" s="48"/>
      <c r="KOQ48" s="47"/>
      <c r="KOR48" s="62"/>
      <c r="KOS48" s="47"/>
      <c r="KOT48" s="48"/>
      <c r="KOU48" s="47"/>
      <c r="KOV48" s="62"/>
      <c r="KOW48" s="47"/>
      <c r="KOX48" s="48"/>
      <c r="KOY48" s="47"/>
      <c r="KOZ48" s="62"/>
      <c r="KPA48" s="47"/>
      <c r="KPB48" s="48"/>
      <c r="KPC48" s="47"/>
      <c r="KPD48" s="62"/>
      <c r="KPE48" s="47"/>
      <c r="KPF48" s="48"/>
      <c r="KPG48" s="47"/>
      <c r="KPH48" s="62"/>
      <c r="KPI48" s="47"/>
      <c r="KPJ48" s="48"/>
      <c r="KPK48" s="47"/>
      <c r="KPL48" s="62"/>
      <c r="KPM48" s="47"/>
      <c r="KPN48" s="48"/>
      <c r="KPO48" s="47"/>
      <c r="KPP48" s="62"/>
      <c r="KPQ48" s="47"/>
      <c r="KPR48" s="48"/>
      <c r="KPS48" s="47"/>
      <c r="KPT48" s="62"/>
      <c r="KPU48" s="47"/>
      <c r="KPV48" s="48"/>
      <c r="KPW48" s="47"/>
      <c r="KPX48" s="62"/>
      <c r="KPY48" s="47"/>
      <c r="KPZ48" s="48"/>
      <c r="KQA48" s="47"/>
      <c r="KQB48" s="62"/>
      <c r="KQC48" s="47"/>
      <c r="KQD48" s="48"/>
      <c r="KQE48" s="47"/>
      <c r="KQF48" s="62"/>
      <c r="KQG48" s="47"/>
      <c r="KQH48" s="48"/>
      <c r="KQI48" s="47"/>
      <c r="KQJ48" s="62"/>
      <c r="KQK48" s="47"/>
      <c r="KQL48" s="48"/>
      <c r="KQM48" s="47"/>
      <c r="KQN48" s="62"/>
      <c r="KQO48" s="47"/>
      <c r="KQP48" s="48"/>
      <c r="KQQ48" s="47"/>
      <c r="KQR48" s="62"/>
      <c r="KQS48" s="47"/>
      <c r="KQT48" s="48"/>
      <c r="KQU48" s="47"/>
      <c r="KQV48" s="62"/>
      <c r="KQW48" s="47"/>
      <c r="KQX48" s="48"/>
      <c r="KQY48" s="47"/>
      <c r="KQZ48" s="62"/>
      <c r="KRA48" s="47"/>
      <c r="KRB48" s="48"/>
      <c r="KRC48" s="47"/>
      <c r="KRD48" s="62"/>
      <c r="KRE48" s="47"/>
      <c r="KRF48" s="48"/>
      <c r="KRG48" s="47"/>
      <c r="KRH48" s="62"/>
      <c r="KRI48" s="47"/>
      <c r="KRJ48" s="48"/>
      <c r="KRK48" s="47"/>
      <c r="KRL48" s="62"/>
      <c r="KRM48" s="47"/>
      <c r="KRN48" s="48"/>
      <c r="KRO48" s="47"/>
      <c r="KRP48" s="62"/>
      <c r="KRQ48" s="47"/>
      <c r="KRR48" s="48"/>
      <c r="KRS48" s="47"/>
      <c r="KRT48" s="62"/>
      <c r="KRU48" s="47"/>
      <c r="KRV48" s="48"/>
      <c r="KRW48" s="47"/>
      <c r="KRX48" s="62"/>
      <c r="KRY48" s="47"/>
      <c r="KRZ48" s="48"/>
      <c r="KSA48" s="47"/>
      <c r="KSB48" s="62"/>
      <c r="KSC48" s="47"/>
      <c r="KSD48" s="48"/>
      <c r="KSE48" s="47"/>
      <c r="KSF48" s="62"/>
      <c r="KSG48" s="47"/>
      <c r="KSH48" s="48"/>
      <c r="KSI48" s="47"/>
      <c r="KSJ48" s="62"/>
      <c r="KSK48" s="47"/>
      <c r="KSL48" s="48"/>
      <c r="KSM48" s="47"/>
      <c r="KSN48" s="62"/>
      <c r="KSO48" s="47"/>
      <c r="KSP48" s="48"/>
      <c r="KSQ48" s="47"/>
      <c r="KSR48" s="62"/>
      <c r="KSS48" s="47"/>
      <c r="KST48" s="48"/>
      <c r="KSU48" s="47"/>
      <c r="KSV48" s="62"/>
      <c r="KSW48" s="47"/>
      <c r="KSX48" s="48"/>
      <c r="KSY48" s="47"/>
      <c r="KSZ48" s="62"/>
      <c r="KTA48" s="47"/>
      <c r="KTB48" s="48"/>
      <c r="KTC48" s="47"/>
      <c r="KTD48" s="62"/>
      <c r="KTE48" s="47"/>
      <c r="KTF48" s="48"/>
      <c r="KTG48" s="47"/>
      <c r="KTH48" s="62"/>
      <c r="KTI48" s="47"/>
      <c r="KTJ48" s="48"/>
      <c r="KTK48" s="47"/>
      <c r="KTL48" s="62"/>
      <c r="KTM48" s="47"/>
      <c r="KTN48" s="48"/>
      <c r="KTO48" s="47"/>
      <c r="KTP48" s="62"/>
      <c r="KTQ48" s="47"/>
      <c r="KTR48" s="48"/>
      <c r="KTS48" s="47"/>
      <c r="KTT48" s="62"/>
      <c r="KTU48" s="47"/>
      <c r="KTV48" s="48"/>
      <c r="KTW48" s="47"/>
      <c r="KTX48" s="62"/>
      <c r="KTY48" s="47"/>
      <c r="KTZ48" s="48"/>
      <c r="KUA48" s="47"/>
      <c r="KUB48" s="62"/>
      <c r="KUC48" s="47"/>
      <c r="KUD48" s="48"/>
      <c r="KUE48" s="47"/>
      <c r="KUF48" s="62"/>
      <c r="KUG48" s="47"/>
      <c r="KUH48" s="48"/>
      <c r="KUI48" s="47"/>
      <c r="KUJ48" s="62"/>
      <c r="KUK48" s="47"/>
      <c r="KUL48" s="48"/>
      <c r="KUM48" s="47"/>
      <c r="KUN48" s="62"/>
      <c r="KUO48" s="47"/>
      <c r="KUP48" s="48"/>
      <c r="KUQ48" s="47"/>
      <c r="KUR48" s="62"/>
      <c r="KUS48" s="47"/>
      <c r="KUT48" s="48"/>
      <c r="KUU48" s="47"/>
      <c r="KUV48" s="62"/>
      <c r="KUW48" s="47"/>
      <c r="KUX48" s="48"/>
      <c r="KUY48" s="47"/>
      <c r="KUZ48" s="62"/>
      <c r="KVA48" s="47"/>
      <c r="KVB48" s="48"/>
      <c r="KVC48" s="47"/>
      <c r="KVD48" s="62"/>
      <c r="KVE48" s="47"/>
      <c r="KVF48" s="48"/>
      <c r="KVG48" s="47"/>
      <c r="KVH48" s="62"/>
      <c r="KVI48" s="47"/>
      <c r="KVJ48" s="48"/>
      <c r="KVK48" s="47"/>
      <c r="KVL48" s="62"/>
      <c r="KVM48" s="47"/>
      <c r="KVN48" s="48"/>
      <c r="KVO48" s="47"/>
      <c r="KVP48" s="62"/>
      <c r="KVQ48" s="47"/>
      <c r="KVR48" s="48"/>
      <c r="KVS48" s="47"/>
      <c r="KVT48" s="62"/>
      <c r="KVU48" s="47"/>
      <c r="KVV48" s="48"/>
      <c r="KVW48" s="47"/>
      <c r="KVX48" s="62"/>
      <c r="KVY48" s="47"/>
      <c r="KVZ48" s="48"/>
      <c r="KWA48" s="47"/>
      <c r="KWB48" s="62"/>
      <c r="KWC48" s="47"/>
      <c r="KWD48" s="48"/>
      <c r="KWE48" s="47"/>
      <c r="KWF48" s="62"/>
      <c r="KWG48" s="47"/>
      <c r="KWH48" s="48"/>
      <c r="KWI48" s="47"/>
      <c r="KWJ48" s="62"/>
      <c r="KWK48" s="47"/>
      <c r="KWL48" s="48"/>
      <c r="KWM48" s="47"/>
      <c r="KWN48" s="62"/>
      <c r="KWO48" s="47"/>
      <c r="KWP48" s="48"/>
      <c r="KWQ48" s="47"/>
      <c r="KWR48" s="62"/>
      <c r="KWS48" s="47"/>
      <c r="KWT48" s="48"/>
      <c r="KWU48" s="47"/>
      <c r="KWV48" s="62"/>
      <c r="KWW48" s="47"/>
      <c r="KWX48" s="48"/>
      <c r="KWY48" s="47"/>
      <c r="KWZ48" s="62"/>
      <c r="KXA48" s="47"/>
      <c r="KXB48" s="48"/>
      <c r="KXC48" s="47"/>
      <c r="KXD48" s="62"/>
      <c r="KXE48" s="47"/>
      <c r="KXF48" s="48"/>
      <c r="KXG48" s="47"/>
      <c r="KXH48" s="62"/>
      <c r="KXI48" s="47"/>
      <c r="KXJ48" s="48"/>
      <c r="KXK48" s="47"/>
      <c r="KXL48" s="62"/>
      <c r="KXM48" s="47"/>
      <c r="KXN48" s="48"/>
      <c r="KXO48" s="47"/>
      <c r="KXP48" s="62"/>
      <c r="KXQ48" s="47"/>
      <c r="KXR48" s="48"/>
      <c r="KXS48" s="47"/>
      <c r="KXT48" s="62"/>
      <c r="KXU48" s="47"/>
      <c r="KXV48" s="48"/>
      <c r="KXW48" s="47"/>
      <c r="KXX48" s="62"/>
      <c r="KXY48" s="47"/>
      <c r="KXZ48" s="48"/>
      <c r="KYA48" s="47"/>
      <c r="KYB48" s="62"/>
      <c r="KYC48" s="47"/>
      <c r="KYD48" s="48"/>
      <c r="KYE48" s="47"/>
      <c r="KYF48" s="62"/>
      <c r="KYG48" s="47"/>
      <c r="KYH48" s="48"/>
      <c r="KYI48" s="47"/>
      <c r="KYJ48" s="62"/>
      <c r="KYK48" s="47"/>
      <c r="KYL48" s="48"/>
      <c r="KYM48" s="47"/>
      <c r="KYN48" s="62"/>
      <c r="KYO48" s="47"/>
      <c r="KYP48" s="48"/>
      <c r="KYQ48" s="47"/>
      <c r="KYR48" s="62"/>
      <c r="KYS48" s="47"/>
      <c r="KYT48" s="48"/>
      <c r="KYU48" s="47"/>
      <c r="KYV48" s="62"/>
      <c r="KYW48" s="47"/>
      <c r="KYX48" s="48"/>
      <c r="KYY48" s="47"/>
      <c r="KYZ48" s="62"/>
      <c r="KZA48" s="47"/>
      <c r="KZB48" s="48"/>
      <c r="KZC48" s="47"/>
      <c r="KZD48" s="62"/>
      <c r="KZE48" s="47"/>
      <c r="KZF48" s="48"/>
      <c r="KZG48" s="47"/>
      <c r="KZH48" s="62"/>
      <c r="KZI48" s="47"/>
      <c r="KZJ48" s="48"/>
      <c r="KZK48" s="47"/>
      <c r="KZL48" s="62"/>
      <c r="KZM48" s="47"/>
      <c r="KZN48" s="48"/>
      <c r="KZO48" s="47"/>
      <c r="KZP48" s="62"/>
      <c r="KZQ48" s="47"/>
      <c r="KZR48" s="48"/>
      <c r="KZS48" s="47"/>
      <c r="KZT48" s="62"/>
      <c r="KZU48" s="47"/>
      <c r="KZV48" s="48"/>
      <c r="KZW48" s="47"/>
      <c r="KZX48" s="62"/>
      <c r="KZY48" s="47"/>
      <c r="KZZ48" s="48"/>
      <c r="LAA48" s="47"/>
      <c r="LAB48" s="62"/>
      <c r="LAC48" s="47"/>
      <c r="LAD48" s="48"/>
      <c r="LAE48" s="47"/>
      <c r="LAF48" s="62"/>
      <c r="LAG48" s="47"/>
      <c r="LAH48" s="48"/>
      <c r="LAI48" s="47"/>
      <c r="LAJ48" s="62"/>
      <c r="LAK48" s="47"/>
      <c r="LAL48" s="48"/>
      <c r="LAM48" s="47"/>
      <c r="LAN48" s="62"/>
      <c r="LAO48" s="47"/>
      <c r="LAP48" s="48"/>
      <c r="LAQ48" s="47"/>
      <c r="LAR48" s="62"/>
      <c r="LAS48" s="47"/>
      <c r="LAT48" s="48"/>
      <c r="LAU48" s="47"/>
      <c r="LAV48" s="62"/>
      <c r="LAW48" s="47"/>
      <c r="LAX48" s="48"/>
      <c r="LAY48" s="47"/>
      <c r="LAZ48" s="62"/>
      <c r="LBA48" s="47"/>
      <c r="LBB48" s="48"/>
      <c r="LBC48" s="47"/>
      <c r="LBD48" s="62"/>
      <c r="LBE48" s="47"/>
      <c r="LBF48" s="48"/>
      <c r="LBG48" s="47"/>
      <c r="LBH48" s="62"/>
      <c r="LBI48" s="47"/>
      <c r="LBJ48" s="48"/>
      <c r="LBK48" s="47"/>
      <c r="LBL48" s="62"/>
      <c r="LBM48" s="47"/>
      <c r="LBN48" s="48"/>
      <c r="LBO48" s="47"/>
      <c r="LBP48" s="62"/>
      <c r="LBQ48" s="47"/>
      <c r="LBR48" s="48"/>
      <c r="LBS48" s="47"/>
      <c r="LBT48" s="62"/>
      <c r="LBU48" s="47"/>
      <c r="LBV48" s="48"/>
      <c r="LBW48" s="47"/>
      <c r="LBX48" s="62"/>
      <c r="LBY48" s="47"/>
      <c r="LBZ48" s="48"/>
      <c r="LCA48" s="47"/>
      <c r="LCB48" s="62"/>
      <c r="LCC48" s="47"/>
      <c r="LCD48" s="48"/>
      <c r="LCE48" s="47"/>
      <c r="LCF48" s="62"/>
      <c r="LCG48" s="47"/>
      <c r="LCH48" s="48"/>
      <c r="LCI48" s="47"/>
      <c r="LCJ48" s="62"/>
      <c r="LCK48" s="47"/>
      <c r="LCL48" s="48"/>
      <c r="LCM48" s="47"/>
      <c r="LCN48" s="62"/>
      <c r="LCO48" s="47"/>
      <c r="LCP48" s="48"/>
      <c r="LCQ48" s="47"/>
      <c r="LCR48" s="62"/>
      <c r="LCS48" s="47"/>
      <c r="LCT48" s="48"/>
      <c r="LCU48" s="47"/>
      <c r="LCV48" s="62"/>
      <c r="LCW48" s="47"/>
      <c r="LCX48" s="48"/>
      <c r="LCY48" s="47"/>
      <c r="LCZ48" s="62"/>
      <c r="LDA48" s="47"/>
      <c r="LDB48" s="48"/>
      <c r="LDC48" s="47"/>
      <c r="LDD48" s="62"/>
      <c r="LDE48" s="47"/>
      <c r="LDF48" s="48"/>
      <c r="LDG48" s="47"/>
      <c r="LDH48" s="62"/>
      <c r="LDI48" s="47"/>
      <c r="LDJ48" s="48"/>
      <c r="LDK48" s="47"/>
      <c r="LDL48" s="62"/>
      <c r="LDM48" s="47"/>
      <c r="LDN48" s="48"/>
      <c r="LDO48" s="47"/>
      <c r="LDP48" s="62"/>
      <c r="LDQ48" s="47"/>
      <c r="LDR48" s="48"/>
      <c r="LDS48" s="47"/>
      <c r="LDT48" s="62"/>
      <c r="LDU48" s="47"/>
      <c r="LDV48" s="48"/>
      <c r="LDW48" s="47"/>
      <c r="LDX48" s="62"/>
      <c r="LDY48" s="47"/>
      <c r="LDZ48" s="48"/>
      <c r="LEA48" s="47"/>
      <c r="LEB48" s="62"/>
      <c r="LEC48" s="47"/>
      <c r="LED48" s="48"/>
      <c r="LEE48" s="47"/>
      <c r="LEF48" s="62"/>
      <c r="LEG48" s="47"/>
      <c r="LEH48" s="48"/>
      <c r="LEI48" s="47"/>
      <c r="LEJ48" s="62"/>
      <c r="LEK48" s="47"/>
      <c r="LEL48" s="48"/>
      <c r="LEM48" s="47"/>
      <c r="LEN48" s="62"/>
      <c r="LEO48" s="47"/>
      <c r="LEP48" s="48"/>
      <c r="LEQ48" s="47"/>
      <c r="LER48" s="62"/>
      <c r="LES48" s="47"/>
      <c r="LET48" s="48"/>
      <c r="LEU48" s="47"/>
      <c r="LEV48" s="62"/>
      <c r="LEW48" s="47"/>
      <c r="LEX48" s="48"/>
      <c r="LEY48" s="47"/>
      <c r="LEZ48" s="62"/>
      <c r="LFA48" s="47"/>
      <c r="LFB48" s="48"/>
      <c r="LFC48" s="47"/>
      <c r="LFD48" s="62"/>
      <c r="LFE48" s="47"/>
      <c r="LFF48" s="48"/>
      <c r="LFG48" s="47"/>
      <c r="LFH48" s="62"/>
      <c r="LFI48" s="47"/>
      <c r="LFJ48" s="48"/>
      <c r="LFK48" s="47"/>
      <c r="LFL48" s="62"/>
      <c r="LFM48" s="47"/>
      <c r="LFN48" s="48"/>
      <c r="LFO48" s="47"/>
      <c r="LFP48" s="62"/>
      <c r="LFQ48" s="47"/>
      <c r="LFR48" s="48"/>
      <c r="LFS48" s="47"/>
      <c r="LFT48" s="62"/>
      <c r="LFU48" s="47"/>
      <c r="LFV48" s="48"/>
      <c r="LFW48" s="47"/>
      <c r="LFX48" s="62"/>
      <c r="LFY48" s="47"/>
      <c r="LFZ48" s="48"/>
      <c r="LGA48" s="47"/>
      <c r="LGB48" s="62"/>
      <c r="LGC48" s="47"/>
      <c r="LGD48" s="48"/>
      <c r="LGE48" s="47"/>
      <c r="LGF48" s="62"/>
      <c r="LGG48" s="47"/>
      <c r="LGH48" s="48"/>
      <c r="LGI48" s="47"/>
      <c r="LGJ48" s="62"/>
      <c r="LGK48" s="47"/>
      <c r="LGL48" s="48"/>
      <c r="LGM48" s="47"/>
      <c r="LGN48" s="62"/>
      <c r="LGO48" s="47"/>
      <c r="LGP48" s="48"/>
      <c r="LGQ48" s="47"/>
      <c r="LGR48" s="62"/>
      <c r="LGS48" s="47"/>
      <c r="LGT48" s="48"/>
      <c r="LGU48" s="47"/>
      <c r="LGV48" s="62"/>
      <c r="LGW48" s="47"/>
      <c r="LGX48" s="48"/>
      <c r="LGY48" s="47"/>
      <c r="LGZ48" s="62"/>
      <c r="LHA48" s="47"/>
      <c r="LHB48" s="48"/>
      <c r="LHC48" s="47"/>
      <c r="LHD48" s="62"/>
      <c r="LHE48" s="47"/>
      <c r="LHF48" s="48"/>
      <c r="LHG48" s="47"/>
      <c r="LHH48" s="62"/>
      <c r="LHI48" s="47"/>
      <c r="LHJ48" s="48"/>
      <c r="LHK48" s="47"/>
      <c r="LHL48" s="62"/>
      <c r="LHM48" s="47"/>
      <c r="LHN48" s="48"/>
      <c r="LHO48" s="47"/>
      <c r="LHP48" s="62"/>
      <c r="LHQ48" s="47"/>
      <c r="LHR48" s="48"/>
      <c r="LHS48" s="47"/>
      <c r="LHT48" s="62"/>
      <c r="LHU48" s="47"/>
      <c r="LHV48" s="48"/>
      <c r="LHW48" s="47"/>
      <c r="LHX48" s="62"/>
      <c r="LHY48" s="47"/>
      <c r="LHZ48" s="48"/>
      <c r="LIA48" s="47"/>
      <c r="LIB48" s="62"/>
      <c r="LIC48" s="47"/>
      <c r="LID48" s="48"/>
      <c r="LIE48" s="47"/>
      <c r="LIF48" s="62"/>
      <c r="LIG48" s="47"/>
      <c r="LIH48" s="48"/>
      <c r="LII48" s="47"/>
      <c r="LIJ48" s="62"/>
      <c r="LIK48" s="47"/>
      <c r="LIL48" s="48"/>
      <c r="LIM48" s="47"/>
      <c r="LIN48" s="62"/>
      <c r="LIO48" s="47"/>
      <c r="LIP48" s="48"/>
      <c r="LIQ48" s="47"/>
      <c r="LIR48" s="62"/>
      <c r="LIS48" s="47"/>
      <c r="LIT48" s="48"/>
      <c r="LIU48" s="47"/>
      <c r="LIV48" s="62"/>
      <c r="LIW48" s="47"/>
      <c r="LIX48" s="48"/>
      <c r="LIY48" s="47"/>
      <c r="LIZ48" s="62"/>
      <c r="LJA48" s="47"/>
      <c r="LJB48" s="48"/>
      <c r="LJC48" s="47"/>
      <c r="LJD48" s="62"/>
      <c r="LJE48" s="47"/>
      <c r="LJF48" s="48"/>
      <c r="LJG48" s="47"/>
      <c r="LJH48" s="62"/>
      <c r="LJI48" s="47"/>
      <c r="LJJ48" s="48"/>
      <c r="LJK48" s="47"/>
      <c r="LJL48" s="62"/>
      <c r="LJM48" s="47"/>
      <c r="LJN48" s="48"/>
      <c r="LJO48" s="47"/>
      <c r="LJP48" s="62"/>
      <c r="LJQ48" s="47"/>
      <c r="LJR48" s="48"/>
      <c r="LJS48" s="47"/>
      <c r="LJT48" s="62"/>
      <c r="LJU48" s="47"/>
      <c r="LJV48" s="48"/>
      <c r="LJW48" s="47"/>
      <c r="LJX48" s="62"/>
      <c r="LJY48" s="47"/>
      <c r="LJZ48" s="48"/>
      <c r="LKA48" s="47"/>
      <c r="LKB48" s="62"/>
      <c r="LKC48" s="47"/>
      <c r="LKD48" s="48"/>
      <c r="LKE48" s="47"/>
      <c r="LKF48" s="62"/>
      <c r="LKG48" s="47"/>
      <c r="LKH48" s="48"/>
      <c r="LKI48" s="47"/>
      <c r="LKJ48" s="62"/>
      <c r="LKK48" s="47"/>
      <c r="LKL48" s="48"/>
      <c r="LKM48" s="47"/>
      <c r="LKN48" s="62"/>
      <c r="LKO48" s="47"/>
      <c r="LKP48" s="48"/>
      <c r="LKQ48" s="47"/>
      <c r="LKR48" s="62"/>
      <c r="LKS48" s="47"/>
      <c r="LKT48" s="48"/>
      <c r="LKU48" s="47"/>
      <c r="LKV48" s="62"/>
      <c r="LKW48" s="47"/>
      <c r="LKX48" s="48"/>
      <c r="LKY48" s="47"/>
      <c r="LKZ48" s="62"/>
      <c r="LLA48" s="47"/>
      <c r="LLB48" s="48"/>
      <c r="LLC48" s="47"/>
      <c r="LLD48" s="62"/>
      <c r="LLE48" s="47"/>
      <c r="LLF48" s="48"/>
      <c r="LLG48" s="47"/>
      <c r="LLH48" s="62"/>
      <c r="LLI48" s="47"/>
      <c r="LLJ48" s="48"/>
      <c r="LLK48" s="47"/>
      <c r="LLL48" s="62"/>
      <c r="LLM48" s="47"/>
      <c r="LLN48" s="48"/>
      <c r="LLO48" s="47"/>
      <c r="LLP48" s="62"/>
      <c r="LLQ48" s="47"/>
      <c r="LLR48" s="48"/>
      <c r="LLS48" s="47"/>
      <c r="LLT48" s="62"/>
      <c r="LLU48" s="47"/>
      <c r="LLV48" s="48"/>
      <c r="LLW48" s="47"/>
      <c r="LLX48" s="62"/>
      <c r="LLY48" s="47"/>
      <c r="LLZ48" s="48"/>
      <c r="LMA48" s="47"/>
      <c r="LMB48" s="62"/>
      <c r="LMC48" s="47"/>
      <c r="LMD48" s="48"/>
      <c r="LME48" s="47"/>
      <c r="LMF48" s="62"/>
      <c r="LMG48" s="47"/>
      <c r="LMH48" s="48"/>
      <c r="LMI48" s="47"/>
      <c r="LMJ48" s="62"/>
      <c r="LMK48" s="47"/>
      <c r="LML48" s="48"/>
      <c r="LMM48" s="47"/>
      <c r="LMN48" s="62"/>
      <c r="LMO48" s="47"/>
      <c r="LMP48" s="48"/>
      <c r="LMQ48" s="47"/>
      <c r="LMR48" s="62"/>
      <c r="LMS48" s="47"/>
      <c r="LMT48" s="48"/>
      <c r="LMU48" s="47"/>
      <c r="LMV48" s="62"/>
      <c r="LMW48" s="47"/>
      <c r="LMX48" s="48"/>
      <c r="LMY48" s="47"/>
      <c r="LMZ48" s="62"/>
      <c r="LNA48" s="47"/>
      <c r="LNB48" s="48"/>
      <c r="LNC48" s="47"/>
      <c r="LND48" s="62"/>
      <c r="LNE48" s="47"/>
      <c r="LNF48" s="48"/>
      <c r="LNG48" s="47"/>
      <c r="LNH48" s="62"/>
      <c r="LNI48" s="47"/>
      <c r="LNJ48" s="48"/>
      <c r="LNK48" s="47"/>
      <c r="LNL48" s="62"/>
      <c r="LNM48" s="47"/>
      <c r="LNN48" s="48"/>
      <c r="LNO48" s="47"/>
      <c r="LNP48" s="62"/>
      <c r="LNQ48" s="47"/>
      <c r="LNR48" s="48"/>
      <c r="LNS48" s="47"/>
      <c r="LNT48" s="62"/>
      <c r="LNU48" s="47"/>
      <c r="LNV48" s="48"/>
      <c r="LNW48" s="47"/>
      <c r="LNX48" s="62"/>
      <c r="LNY48" s="47"/>
      <c r="LNZ48" s="48"/>
      <c r="LOA48" s="47"/>
      <c r="LOB48" s="62"/>
      <c r="LOC48" s="47"/>
      <c r="LOD48" s="48"/>
      <c r="LOE48" s="47"/>
      <c r="LOF48" s="62"/>
      <c r="LOG48" s="47"/>
      <c r="LOH48" s="48"/>
      <c r="LOI48" s="47"/>
      <c r="LOJ48" s="62"/>
      <c r="LOK48" s="47"/>
      <c r="LOL48" s="48"/>
      <c r="LOM48" s="47"/>
      <c r="LON48" s="62"/>
      <c r="LOO48" s="47"/>
      <c r="LOP48" s="48"/>
      <c r="LOQ48" s="47"/>
      <c r="LOR48" s="62"/>
      <c r="LOS48" s="47"/>
      <c r="LOT48" s="48"/>
      <c r="LOU48" s="47"/>
      <c r="LOV48" s="62"/>
      <c r="LOW48" s="47"/>
      <c r="LOX48" s="48"/>
      <c r="LOY48" s="47"/>
      <c r="LOZ48" s="62"/>
      <c r="LPA48" s="47"/>
      <c r="LPB48" s="48"/>
      <c r="LPC48" s="47"/>
      <c r="LPD48" s="62"/>
      <c r="LPE48" s="47"/>
      <c r="LPF48" s="48"/>
      <c r="LPG48" s="47"/>
      <c r="LPH48" s="62"/>
      <c r="LPI48" s="47"/>
      <c r="LPJ48" s="48"/>
      <c r="LPK48" s="47"/>
      <c r="LPL48" s="62"/>
      <c r="LPM48" s="47"/>
      <c r="LPN48" s="48"/>
      <c r="LPO48" s="47"/>
      <c r="LPP48" s="62"/>
      <c r="LPQ48" s="47"/>
      <c r="LPR48" s="48"/>
      <c r="LPS48" s="47"/>
      <c r="LPT48" s="62"/>
      <c r="LPU48" s="47"/>
      <c r="LPV48" s="48"/>
      <c r="LPW48" s="47"/>
      <c r="LPX48" s="62"/>
      <c r="LPY48" s="47"/>
      <c r="LPZ48" s="48"/>
      <c r="LQA48" s="47"/>
      <c r="LQB48" s="62"/>
      <c r="LQC48" s="47"/>
      <c r="LQD48" s="48"/>
      <c r="LQE48" s="47"/>
      <c r="LQF48" s="62"/>
      <c r="LQG48" s="47"/>
      <c r="LQH48" s="48"/>
      <c r="LQI48" s="47"/>
      <c r="LQJ48" s="62"/>
      <c r="LQK48" s="47"/>
      <c r="LQL48" s="48"/>
      <c r="LQM48" s="47"/>
      <c r="LQN48" s="62"/>
      <c r="LQO48" s="47"/>
      <c r="LQP48" s="48"/>
      <c r="LQQ48" s="47"/>
      <c r="LQR48" s="62"/>
      <c r="LQS48" s="47"/>
      <c r="LQT48" s="48"/>
      <c r="LQU48" s="47"/>
      <c r="LQV48" s="62"/>
      <c r="LQW48" s="47"/>
      <c r="LQX48" s="48"/>
      <c r="LQY48" s="47"/>
      <c r="LQZ48" s="62"/>
      <c r="LRA48" s="47"/>
      <c r="LRB48" s="48"/>
      <c r="LRC48" s="47"/>
      <c r="LRD48" s="62"/>
      <c r="LRE48" s="47"/>
      <c r="LRF48" s="48"/>
      <c r="LRG48" s="47"/>
      <c r="LRH48" s="62"/>
      <c r="LRI48" s="47"/>
      <c r="LRJ48" s="48"/>
      <c r="LRK48" s="47"/>
      <c r="LRL48" s="62"/>
      <c r="LRM48" s="47"/>
      <c r="LRN48" s="48"/>
      <c r="LRO48" s="47"/>
      <c r="LRP48" s="62"/>
      <c r="LRQ48" s="47"/>
      <c r="LRR48" s="48"/>
      <c r="LRS48" s="47"/>
      <c r="LRT48" s="62"/>
      <c r="LRU48" s="47"/>
      <c r="LRV48" s="48"/>
      <c r="LRW48" s="47"/>
      <c r="LRX48" s="62"/>
      <c r="LRY48" s="47"/>
      <c r="LRZ48" s="48"/>
      <c r="LSA48" s="47"/>
      <c r="LSB48" s="62"/>
      <c r="LSC48" s="47"/>
      <c r="LSD48" s="48"/>
      <c r="LSE48" s="47"/>
      <c r="LSF48" s="62"/>
      <c r="LSG48" s="47"/>
      <c r="LSH48" s="48"/>
      <c r="LSI48" s="47"/>
      <c r="LSJ48" s="62"/>
      <c r="LSK48" s="47"/>
      <c r="LSL48" s="48"/>
      <c r="LSM48" s="47"/>
      <c r="LSN48" s="62"/>
      <c r="LSO48" s="47"/>
      <c r="LSP48" s="48"/>
      <c r="LSQ48" s="47"/>
      <c r="LSR48" s="62"/>
      <c r="LSS48" s="47"/>
      <c r="LST48" s="48"/>
      <c r="LSU48" s="47"/>
      <c r="LSV48" s="62"/>
      <c r="LSW48" s="47"/>
      <c r="LSX48" s="48"/>
      <c r="LSY48" s="47"/>
      <c r="LSZ48" s="62"/>
      <c r="LTA48" s="47"/>
      <c r="LTB48" s="48"/>
      <c r="LTC48" s="47"/>
      <c r="LTD48" s="62"/>
      <c r="LTE48" s="47"/>
      <c r="LTF48" s="48"/>
      <c r="LTG48" s="47"/>
      <c r="LTH48" s="62"/>
      <c r="LTI48" s="47"/>
      <c r="LTJ48" s="48"/>
      <c r="LTK48" s="47"/>
      <c r="LTL48" s="62"/>
      <c r="LTM48" s="47"/>
      <c r="LTN48" s="48"/>
      <c r="LTO48" s="47"/>
      <c r="LTP48" s="62"/>
      <c r="LTQ48" s="47"/>
      <c r="LTR48" s="48"/>
      <c r="LTS48" s="47"/>
      <c r="LTT48" s="62"/>
      <c r="LTU48" s="47"/>
      <c r="LTV48" s="48"/>
      <c r="LTW48" s="47"/>
      <c r="LTX48" s="62"/>
      <c r="LTY48" s="47"/>
      <c r="LTZ48" s="48"/>
      <c r="LUA48" s="47"/>
      <c r="LUB48" s="62"/>
      <c r="LUC48" s="47"/>
      <c r="LUD48" s="48"/>
      <c r="LUE48" s="47"/>
      <c r="LUF48" s="62"/>
      <c r="LUG48" s="47"/>
      <c r="LUH48" s="48"/>
      <c r="LUI48" s="47"/>
      <c r="LUJ48" s="62"/>
      <c r="LUK48" s="47"/>
      <c r="LUL48" s="48"/>
      <c r="LUM48" s="47"/>
      <c r="LUN48" s="62"/>
      <c r="LUO48" s="47"/>
      <c r="LUP48" s="48"/>
      <c r="LUQ48" s="47"/>
      <c r="LUR48" s="62"/>
      <c r="LUS48" s="47"/>
      <c r="LUT48" s="48"/>
      <c r="LUU48" s="47"/>
      <c r="LUV48" s="62"/>
      <c r="LUW48" s="47"/>
      <c r="LUX48" s="48"/>
      <c r="LUY48" s="47"/>
      <c r="LUZ48" s="62"/>
      <c r="LVA48" s="47"/>
      <c r="LVB48" s="48"/>
      <c r="LVC48" s="47"/>
      <c r="LVD48" s="62"/>
      <c r="LVE48" s="47"/>
      <c r="LVF48" s="48"/>
      <c r="LVG48" s="47"/>
      <c r="LVH48" s="62"/>
      <c r="LVI48" s="47"/>
      <c r="LVJ48" s="48"/>
      <c r="LVK48" s="47"/>
      <c r="LVL48" s="62"/>
      <c r="LVM48" s="47"/>
      <c r="LVN48" s="48"/>
      <c r="LVO48" s="47"/>
      <c r="LVP48" s="62"/>
      <c r="LVQ48" s="47"/>
      <c r="LVR48" s="48"/>
      <c r="LVS48" s="47"/>
      <c r="LVT48" s="62"/>
      <c r="LVU48" s="47"/>
      <c r="LVV48" s="48"/>
      <c r="LVW48" s="47"/>
      <c r="LVX48" s="62"/>
      <c r="LVY48" s="47"/>
      <c r="LVZ48" s="48"/>
      <c r="LWA48" s="47"/>
      <c r="LWB48" s="62"/>
      <c r="LWC48" s="47"/>
      <c r="LWD48" s="48"/>
      <c r="LWE48" s="47"/>
      <c r="LWF48" s="62"/>
      <c r="LWG48" s="47"/>
      <c r="LWH48" s="48"/>
      <c r="LWI48" s="47"/>
      <c r="LWJ48" s="62"/>
      <c r="LWK48" s="47"/>
      <c r="LWL48" s="48"/>
      <c r="LWM48" s="47"/>
      <c r="LWN48" s="62"/>
      <c r="LWO48" s="47"/>
      <c r="LWP48" s="48"/>
      <c r="LWQ48" s="47"/>
      <c r="LWR48" s="62"/>
      <c r="LWS48" s="47"/>
      <c r="LWT48" s="48"/>
      <c r="LWU48" s="47"/>
      <c r="LWV48" s="62"/>
      <c r="LWW48" s="47"/>
      <c r="LWX48" s="48"/>
      <c r="LWY48" s="47"/>
      <c r="LWZ48" s="62"/>
      <c r="LXA48" s="47"/>
      <c r="LXB48" s="48"/>
      <c r="LXC48" s="47"/>
      <c r="LXD48" s="62"/>
      <c r="LXE48" s="47"/>
      <c r="LXF48" s="48"/>
      <c r="LXG48" s="47"/>
      <c r="LXH48" s="62"/>
      <c r="LXI48" s="47"/>
      <c r="LXJ48" s="48"/>
      <c r="LXK48" s="47"/>
      <c r="LXL48" s="62"/>
      <c r="LXM48" s="47"/>
      <c r="LXN48" s="48"/>
      <c r="LXO48" s="47"/>
      <c r="LXP48" s="62"/>
      <c r="LXQ48" s="47"/>
      <c r="LXR48" s="48"/>
      <c r="LXS48" s="47"/>
      <c r="LXT48" s="62"/>
      <c r="LXU48" s="47"/>
      <c r="LXV48" s="48"/>
      <c r="LXW48" s="47"/>
      <c r="LXX48" s="62"/>
      <c r="LXY48" s="47"/>
      <c r="LXZ48" s="48"/>
      <c r="LYA48" s="47"/>
      <c r="LYB48" s="62"/>
      <c r="LYC48" s="47"/>
      <c r="LYD48" s="48"/>
      <c r="LYE48" s="47"/>
      <c r="LYF48" s="62"/>
      <c r="LYG48" s="47"/>
      <c r="LYH48" s="48"/>
      <c r="LYI48" s="47"/>
      <c r="LYJ48" s="62"/>
      <c r="LYK48" s="47"/>
      <c r="LYL48" s="48"/>
      <c r="LYM48" s="47"/>
      <c r="LYN48" s="62"/>
      <c r="LYO48" s="47"/>
      <c r="LYP48" s="48"/>
      <c r="LYQ48" s="47"/>
      <c r="LYR48" s="62"/>
      <c r="LYS48" s="47"/>
      <c r="LYT48" s="48"/>
      <c r="LYU48" s="47"/>
      <c r="LYV48" s="62"/>
      <c r="LYW48" s="47"/>
      <c r="LYX48" s="48"/>
      <c r="LYY48" s="47"/>
      <c r="LYZ48" s="62"/>
      <c r="LZA48" s="47"/>
      <c r="LZB48" s="48"/>
      <c r="LZC48" s="47"/>
      <c r="LZD48" s="62"/>
      <c r="LZE48" s="47"/>
      <c r="LZF48" s="48"/>
      <c r="LZG48" s="47"/>
      <c r="LZH48" s="62"/>
      <c r="LZI48" s="47"/>
      <c r="LZJ48" s="48"/>
      <c r="LZK48" s="47"/>
      <c r="LZL48" s="62"/>
      <c r="LZM48" s="47"/>
      <c r="LZN48" s="48"/>
      <c r="LZO48" s="47"/>
      <c r="LZP48" s="62"/>
      <c r="LZQ48" s="47"/>
      <c r="LZR48" s="48"/>
      <c r="LZS48" s="47"/>
      <c r="LZT48" s="62"/>
      <c r="LZU48" s="47"/>
      <c r="LZV48" s="48"/>
      <c r="LZW48" s="47"/>
      <c r="LZX48" s="62"/>
      <c r="LZY48" s="47"/>
      <c r="LZZ48" s="48"/>
      <c r="MAA48" s="47"/>
      <c r="MAB48" s="62"/>
      <c r="MAC48" s="47"/>
      <c r="MAD48" s="48"/>
      <c r="MAE48" s="47"/>
      <c r="MAF48" s="62"/>
      <c r="MAG48" s="47"/>
      <c r="MAH48" s="48"/>
      <c r="MAI48" s="47"/>
      <c r="MAJ48" s="62"/>
      <c r="MAK48" s="47"/>
      <c r="MAL48" s="48"/>
      <c r="MAM48" s="47"/>
      <c r="MAN48" s="62"/>
      <c r="MAO48" s="47"/>
      <c r="MAP48" s="48"/>
      <c r="MAQ48" s="47"/>
      <c r="MAR48" s="62"/>
      <c r="MAS48" s="47"/>
      <c r="MAT48" s="48"/>
      <c r="MAU48" s="47"/>
      <c r="MAV48" s="62"/>
      <c r="MAW48" s="47"/>
      <c r="MAX48" s="48"/>
      <c r="MAY48" s="47"/>
      <c r="MAZ48" s="62"/>
      <c r="MBA48" s="47"/>
      <c r="MBB48" s="48"/>
      <c r="MBC48" s="47"/>
      <c r="MBD48" s="62"/>
      <c r="MBE48" s="47"/>
      <c r="MBF48" s="48"/>
      <c r="MBG48" s="47"/>
      <c r="MBH48" s="62"/>
      <c r="MBI48" s="47"/>
      <c r="MBJ48" s="48"/>
      <c r="MBK48" s="47"/>
      <c r="MBL48" s="62"/>
      <c r="MBM48" s="47"/>
      <c r="MBN48" s="48"/>
      <c r="MBO48" s="47"/>
      <c r="MBP48" s="62"/>
      <c r="MBQ48" s="47"/>
      <c r="MBR48" s="48"/>
      <c r="MBS48" s="47"/>
      <c r="MBT48" s="62"/>
      <c r="MBU48" s="47"/>
      <c r="MBV48" s="48"/>
      <c r="MBW48" s="47"/>
      <c r="MBX48" s="62"/>
      <c r="MBY48" s="47"/>
      <c r="MBZ48" s="48"/>
      <c r="MCA48" s="47"/>
      <c r="MCB48" s="62"/>
      <c r="MCC48" s="47"/>
      <c r="MCD48" s="48"/>
      <c r="MCE48" s="47"/>
      <c r="MCF48" s="62"/>
      <c r="MCG48" s="47"/>
      <c r="MCH48" s="48"/>
      <c r="MCI48" s="47"/>
      <c r="MCJ48" s="62"/>
      <c r="MCK48" s="47"/>
      <c r="MCL48" s="48"/>
      <c r="MCM48" s="47"/>
      <c r="MCN48" s="62"/>
      <c r="MCO48" s="47"/>
      <c r="MCP48" s="48"/>
      <c r="MCQ48" s="47"/>
      <c r="MCR48" s="62"/>
      <c r="MCS48" s="47"/>
      <c r="MCT48" s="48"/>
      <c r="MCU48" s="47"/>
      <c r="MCV48" s="62"/>
      <c r="MCW48" s="47"/>
      <c r="MCX48" s="48"/>
      <c r="MCY48" s="47"/>
      <c r="MCZ48" s="62"/>
      <c r="MDA48" s="47"/>
      <c r="MDB48" s="48"/>
      <c r="MDC48" s="47"/>
      <c r="MDD48" s="62"/>
      <c r="MDE48" s="47"/>
      <c r="MDF48" s="48"/>
      <c r="MDG48" s="47"/>
      <c r="MDH48" s="62"/>
      <c r="MDI48" s="47"/>
      <c r="MDJ48" s="48"/>
      <c r="MDK48" s="47"/>
      <c r="MDL48" s="62"/>
      <c r="MDM48" s="47"/>
      <c r="MDN48" s="48"/>
      <c r="MDO48" s="47"/>
      <c r="MDP48" s="62"/>
      <c r="MDQ48" s="47"/>
      <c r="MDR48" s="48"/>
      <c r="MDS48" s="47"/>
      <c r="MDT48" s="62"/>
      <c r="MDU48" s="47"/>
      <c r="MDV48" s="48"/>
      <c r="MDW48" s="47"/>
      <c r="MDX48" s="62"/>
      <c r="MDY48" s="47"/>
      <c r="MDZ48" s="48"/>
      <c r="MEA48" s="47"/>
      <c r="MEB48" s="62"/>
      <c r="MEC48" s="47"/>
      <c r="MED48" s="48"/>
      <c r="MEE48" s="47"/>
      <c r="MEF48" s="62"/>
      <c r="MEG48" s="47"/>
      <c r="MEH48" s="48"/>
      <c r="MEI48" s="47"/>
      <c r="MEJ48" s="62"/>
      <c r="MEK48" s="47"/>
      <c r="MEL48" s="48"/>
      <c r="MEM48" s="47"/>
      <c r="MEN48" s="62"/>
      <c r="MEO48" s="47"/>
      <c r="MEP48" s="48"/>
      <c r="MEQ48" s="47"/>
      <c r="MER48" s="62"/>
      <c r="MES48" s="47"/>
      <c r="MET48" s="48"/>
      <c r="MEU48" s="47"/>
      <c r="MEV48" s="62"/>
      <c r="MEW48" s="47"/>
      <c r="MEX48" s="48"/>
      <c r="MEY48" s="47"/>
      <c r="MEZ48" s="62"/>
      <c r="MFA48" s="47"/>
      <c r="MFB48" s="48"/>
      <c r="MFC48" s="47"/>
      <c r="MFD48" s="62"/>
      <c r="MFE48" s="47"/>
      <c r="MFF48" s="48"/>
      <c r="MFG48" s="47"/>
      <c r="MFH48" s="62"/>
      <c r="MFI48" s="47"/>
      <c r="MFJ48" s="48"/>
      <c r="MFK48" s="47"/>
      <c r="MFL48" s="62"/>
      <c r="MFM48" s="47"/>
      <c r="MFN48" s="48"/>
      <c r="MFO48" s="47"/>
      <c r="MFP48" s="62"/>
      <c r="MFQ48" s="47"/>
      <c r="MFR48" s="48"/>
      <c r="MFS48" s="47"/>
      <c r="MFT48" s="62"/>
      <c r="MFU48" s="47"/>
      <c r="MFV48" s="48"/>
      <c r="MFW48" s="47"/>
      <c r="MFX48" s="62"/>
      <c r="MFY48" s="47"/>
      <c r="MFZ48" s="48"/>
      <c r="MGA48" s="47"/>
      <c r="MGB48" s="62"/>
      <c r="MGC48" s="47"/>
      <c r="MGD48" s="48"/>
      <c r="MGE48" s="47"/>
      <c r="MGF48" s="62"/>
      <c r="MGG48" s="47"/>
      <c r="MGH48" s="48"/>
      <c r="MGI48" s="47"/>
      <c r="MGJ48" s="62"/>
      <c r="MGK48" s="47"/>
      <c r="MGL48" s="48"/>
      <c r="MGM48" s="47"/>
      <c r="MGN48" s="62"/>
      <c r="MGO48" s="47"/>
      <c r="MGP48" s="48"/>
      <c r="MGQ48" s="47"/>
      <c r="MGR48" s="62"/>
      <c r="MGS48" s="47"/>
      <c r="MGT48" s="48"/>
      <c r="MGU48" s="47"/>
      <c r="MGV48" s="62"/>
      <c r="MGW48" s="47"/>
      <c r="MGX48" s="48"/>
      <c r="MGY48" s="47"/>
      <c r="MGZ48" s="62"/>
      <c r="MHA48" s="47"/>
      <c r="MHB48" s="48"/>
      <c r="MHC48" s="47"/>
      <c r="MHD48" s="62"/>
      <c r="MHE48" s="47"/>
      <c r="MHF48" s="48"/>
      <c r="MHG48" s="47"/>
      <c r="MHH48" s="62"/>
      <c r="MHI48" s="47"/>
      <c r="MHJ48" s="48"/>
      <c r="MHK48" s="47"/>
      <c r="MHL48" s="62"/>
      <c r="MHM48" s="47"/>
      <c r="MHN48" s="48"/>
      <c r="MHO48" s="47"/>
      <c r="MHP48" s="62"/>
      <c r="MHQ48" s="47"/>
      <c r="MHR48" s="48"/>
      <c r="MHS48" s="47"/>
      <c r="MHT48" s="62"/>
      <c r="MHU48" s="47"/>
      <c r="MHV48" s="48"/>
      <c r="MHW48" s="47"/>
      <c r="MHX48" s="62"/>
      <c r="MHY48" s="47"/>
      <c r="MHZ48" s="48"/>
      <c r="MIA48" s="47"/>
      <c r="MIB48" s="62"/>
      <c r="MIC48" s="47"/>
      <c r="MID48" s="48"/>
      <c r="MIE48" s="47"/>
      <c r="MIF48" s="62"/>
      <c r="MIG48" s="47"/>
      <c r="MIH48" s="48"/>
      <c r="MII48" s="47"/>
      <c r="MIJ48" s="62"/>
      <c r="MIK48" s="47"/>
      <c r="MIL48" s="48"/>
      <c r="MIM48" s="47"/>
      <c r="MIN48" s="62"/>
      <c r="MIO48" s="47"/>
      <c r="MIP48" s="48"/>
      <c r="MIQ48" s="47"/>
      <c r="MIR48" s="62"/>
      <c r="MIS48" s="47"/>
      <c r="MIT48" s="48"/>
      <c r="MIU48" s="47"/>
      <c r="MIV48" s="62"/>
      <c r="MIW48" s="47"/>
      <c r="MIX48" s="48"/>
      <c r="MIY48" s="47"/>
      <c r="MIZ48" s="62"/>
      <c r="MJA48" s="47"/>
      <c r="MJB48" s="48"/>
      <c r="MJC48" s="47"/>
      <c r="MJD48" s="62"/>
      <c r="MJE48" s="47"/>
      <c r="MJF48" s="48"/>
      <c r="MJG48" s="47"/>
      <c r="MJH48" s="62"/>
      <c r="MJI48" s="47"/>
      <c r="MJJ48" s="48"/>
      <c r="MJK48" s="47"/>
      <c r="MJL48" s="62"/>
      <c r="MJM48" s="47"/>
      <c r="MJN48" s="48"/>
      <c r="MJO48" s="47"/>
      <c r="MJP48" s="62"/>
      <c r="MJQ48" s="47"/>
      <c r="MJR48" s="48"/>
      <c r="MJS48" s="47"/>
      <c r="MJT48" s="62"/>
      <c r="MJU48" s="47"/>
      <c r="MJV48" s="48"/>
      <c r="MJW48" s="47"/>
      <c r="MJX48" s="62"/>
      <c r="MJY48" s="47"/>
      <c r="MJZ48" s="48"/>
      <c r="MKA48" s="47"/>
      <c r="MKB48" s="62"/>
      <c r="MKC48" s="47"/>
      <c r="MKD48" s="48"/>
      <c r="MKE48" s="47"/>
      <c r="MKF48" s="62"/>
      <c r="MKG48" s="47"/>
      <c r="MKH48" s="48"/>
      <c r="MKI48" s="47"/>
      <c r="MKJ48" s="62"/>
      <c r="MKK48" s="47"/>
      <c r="MKL48" s="48"/>
      <c r="MKM48" s="47"/>
      <c r="MKN48" s="62"/>
      <c r="MKO48" s="47"/>
      <c r="MKP48" s="48"/>
      <c r="MKQ48" s="47"/>
      <c r="MKR48" s="62"/>
      <c r="MKS48" s="47"/>
      <c r="MKT48" s="48"/>
      <c r="MKU48" s="47"/>
      <c r="MKV48" s="62"/>
      <c r="MKW48" s="47"/>
      <c r="MKX48" s="48"/>
      <c r="MKY48" s="47"/>
      <c r="MKZ48" s="62"/>
      <c r="MLA48" s="47"/>
      <c r="MLB48" s="48"/>
      <c r="MLC48" s="47"/>
      <c r="MLD48" s="62"/>
      <c r="MLE48" s="47"/>
      <c r="MLF48" s="48"/>
      <c r="MLG48" s="47"/>
      <c r="MLH48" s="62"/>
      <c r="MLI48" s="47"/>
      <c r="MLJ48" s="48"/>
      <c r="MLK48" s="47"/>
      <c r="MLL48" s="62"/>
      <c r="MLM48" s="47"/>
      <c r="MLN48" s="48"/>
      <c r="MLO48" s="47"/>
      <c r="MLP48" s="62"/>
      <c r="MLQ48" s="47"/>
      <c r="MLR48" s="48"/>
      <c r="MLS48" s="47"/>
      <c r="MLT48" s="62"/>
      <c r="MLU48" s="47"/>
      <c r="MLV48" s="48"/>
      <c r="MLW48" s="47"/>
      <c r="MLX48" s="62"/>
      <c r="MLY48" s="47"/>
      <c r="MLZ48" s="48"/>
      <c r="MMA48" s="47"/>
      <c r="MMB48" s="62"/>
      <c r="MMC48" s="47"/>
      <c r="MMD48" s="48"/>
      <c r="MME48" s="47"/>
      <c r="MMF48" s="62"/>
      <c r="MMG48" s="47"/>
      <c r="MMH48" s="48"/>
      <c r="MMI48" s="47"/>
      <c r="MMJ48" s="62"/>
      <c r="MMK48" s="47"/>
      <c r="MML48" s="48"/>
      <c r="MMM48" s="47"/>
      <c r="MMN48" s="62"/>
      <c r="MMO48" s="47"/>
      <c r="MMP48" s="48"/>
      <c r="MMQ48" s="47"/>
      <c r="MMR48" s="62"/>
      <c r="MMS48" s="47"/>
      <c r="MMT48" s="48"/>
      <c r="MMU48" s="47"/>
      <c r="MMV48" s="62"/>
      <c r="MMW48" s="47"/>
      <c r="MMX48" s="48"/>
      <c r="MMY48" s="47"/>
      <c r="MMZ48" s="62"/>
      <c r="MNA48" s="47"/>
      <c r="MNB48" s="48"/>
      <c r="MNC48" s="47"/>
      <c r="MND48" s="62"/>
      <c r="MNE48" s="47"/>
      <c r="MNF48" s="48"/>
      <c r="MNG48" s="47"/>
      <c r="MNH48" s="62"/>
      <c r="MNI48" s="47"/>
      <c r="MNJ48" s="48"/>
      <c r="MNK48" s="47"/>
      <c r="MNL48" s="62"/>
      <c r="MNM48" s="47"/>
      <c r="MNN48" s="48"/>
      <c r="MNO48" s="47"/>
      <c r="MNP48" s="62"/>
      <c r="MNQ48" s="47"/>
      <c r="MNR48" s="48"/>
      <c r="MNS48" s="47"/>
      <c r="MNT48" s="62"/>
      <c r="MNU48" s="47"/>
      <c r="MNV48" s="48"/>
      <c r="MNW48" s="47"/>
      <c r="MNX48" s="62"/>
      <c r="MNY48" s="47"/>
      <c r="MNZ48" s="48"/>
      <c r="MOA48" s="47"/>
      <c r="MOB48" s="62"/>
      <c r="MOC48" s="47"/>
      <c r="MOD48" s="48"/>
      <c r="MOE48" s="47"/>
      <c r="MOF48" s="62"/>
      <c r="MOG48" s="47"/>
      <c r="MOH48" s="48"/>
      <c r="MOI48" s="47"/>
      <c r="MOJ48" s="62"/>
      <c r="MOK48" s="47"/>
      <c r="MOL48" s="48"/>
      <c r="MOM48" s="47"/>
      <c r="MON48" s="62"/>
      <c r="MOO48" s="47"/>
      <c r="MOP48" s="48"/>
      <c r="MOQ48" s="47"/>
      <c r="MOR48" s="62"/>
      <c r="MOS48" s="47"/>
      <c r="MOT48" s="48"/>
      <c r="MOU48" s="47"/>
      <c r="MOV48" s="62"/>
      <c r="MOW48" s="47"/>
      <c r="MOX48" s="48"/>
      <c r="MOY48" s="47"/>
      <c r="MOZ48" s="62"/>
      <c r="MPA48" s="47"/>
      <c r="MPB48" s="48"/>
      <c r="MPC48" s="47"/>
      <c r="MPD48" s="62"/>
      <c r="MPE48" s="47"/>
      <c r="MPF48" s="48"/>
      <c r="MPG48" s="47"/>
      <c r="MPH48" s="62"/>
      <c r="MPI48" s="47"/>
      <c r="MPJ48" s="48"/>
      <c r="MPK48" s="47"/>
      <c r="MPL48" s="62"/>
      <c r="MPM48" s="47"/>
      <c r="MPN48" s="48"/>
      <c r="MPO48" s="47"/>
      <c r="MPP48" s="62"/>
      <c r="MPQ48" s="47"/>
      <c r="MPR48" s="48"/>
      <c r="MPS48" s="47"/>
      <c r="MPT48" s="62"/>
      <c r="MPU48" s="47"/>
      <c r="MPV48" s="48"/>
      <c r="MPW48" s="47"/>
      <c r="MPX48" s="62"/>
      <c r="MPY48" s="47"/>
      <c r="MPZ48" s="48"/>
      <c r="MQA48" s="47"/>
      <c r="MQB48" s="62"/>
      <c r="MQC48" s="47"/>
      <c r="MQD48" s="48"/>
      <c r="MQE48" s="47"/>
      <c r="MQF48" s="62"/>
      <c r="MQG48" s="47"/>
      <c r="MQH48" s="48"/>
      <c r="MQI48" s="47"/>
      <c r="MQJ48" s="62"/>
      <c r="MQK48" s="47"/>
      <c r="MQL48" s="48"/>
      <c r="MQM48" s="47"/>
      <c r="MQN48" s="62"/>
      <c r="MQO48" s="47"/>
      <c r="MQP48" s="48"/>
      <c r="MQQ48" s="47"/>
      <c r="MQR48" s="62"/>
      <c r="MQS48" s="47"/>
      <c r="MQT48" s="48"/>
      <c r="MQU48" s="47"/>
      <c r="MQV48" s="62"/>
      <c r="MQW48" s="47"/>
      <c r="MQX48" s="48"/>
      <c r="MQY48" s="47"/>
      <c r="MQZ48" s="62"/>
      <c r="MRA48" s="47"/>
      <c r="MRB48" s="48"/>
      <c r="MRC48" s="47"/>
      <c r="MRD48" s="62"/>
      <c r="MRE48" s="47"/>
      <c r="MRF48" s="48"/>
      <c r="MRG48" s="47"/>
      <c r="MRH48" s="62"/>
      <c r="MRI48" s="47"/>
      <c r="MRJ48" s="48"/>
      <c r="MRK48" s="47"/>
      <c r="MRL48" s="62"/>
      <c r="MRM48" s="47"/>
      <c r="MRN48" s="48"/>
      <c r="MRO48" s="47"/>
      <c r="MRP48" s="62"/>
      <c r="MRQ48" s="47"/>
      <c r="MRR48" s="48"/>
      <c r="MRS48" s="47"/>
      <c r="MRT48" s="62"/>
      <c r="MRU48" s="47"/>
      <c r="MRV48" s="48"/>
      <c r="MRW48" s="47"/>
      <c r="MRX48" s="62"/>
      <c r="MRY48" s="47"/>
      <c r="MRZ48" s="48"/>
      <c r="MSA48" s="47"/>
      <c r="MSB48" s="62"/>
      <c r="MSC48" s="47"/>
      <c r="MSD48" s="48"/>
      <c r="MSE48" s="47"/>
      <c r="MSF48" s="62"/>
      <c r="MSG48" s="47"/>
      <c r="MSH48" s="48"/>
      <c r="MSI48" s="47"/>
      <c r="MSJ48" s="62"/>
      <c r="MSK48" s="47"/>
      <c r="MSL48" s="48"/>
      <c r="MSM48" s="47"/>
      <c r="MSN48" s="62"/>
      <c r="MSO48" s="47"/>
      <c r="MSP48" s="48"/>
      <c r="MSQ48" s="47"/>
      <c r="MSR48" s="62"/>
      <c r="MSS48" s="47"/>
      <c r="MST48" s="48"/>
      <c r="MSU48" s="47"/>
      <c r="MSV48" s="62"/>
      <c r="MSW48" s="47"/>
      <c r="MSX48" s="48"/>
      <c r="MSY48" s="47"/>
      <c r="MSZ48" s="62"/>
      <c r="MTA48" s="47"/>
      <c r="MTB48" s="48"/>
      <c r="MTC48" s="47"/>
      <c r="MTD48" s="62"/>
      <c r="MTE48" s="47"/>
      <c r="MTF48" s="48"/>
      <c r="MTG48" s="47"/>
      <c r="MTH48" s="62"/>
      <c r="MTI48" s="47"/>
      <c r="MTJ48" s="48"/>
      <c r="MTK48" s="47"/>
      <c r="MTL48" s="62"/>
      <c r="MTM48" s="47"/>
      <c r="MTN48" s="48"/>
      <c r="MTO48" s="47"/>
      <c r="MTP48" s="62"/>
      <c r="MTQ48" s="47"/>
      <c r="MTR48" s="48"/>
      <c r="MTS48" s="47"/>
      <c r="MTT48" s="62"/>
      <c r="MTU48" s="47"/>
      <c r="MTV48" s="48"/>
      <c r="MTW48" s="47"/>
      <c r="MTX48" s="62"/>
      <c r="MTY48" s="47"/>
      <c r="MTZ48" s="48"/>
      <c r="MUA48" s="47"/>
      <c r="MUB48" s="62"/>
      <c r="MUC48" s="47"/>
      <c r="MUD48" s="48"/>
      <c r="MUE48" s="47"/>
      <c r="MUF48" s="62"/>
      <c r="MUG48" s="47"/>
      <c r="MUH48" s="48"/>
      <c r="MUI48" s="47"/>
      <c r="MUJ48" s="62"/>
      <c r="MUK48" s="47"/>
      <c r="MUL48" s="48"/>
      <c r="MUM48" s="47"/>
      <c r="MUN48" s="62"/>
      <c r="MUO48" s="47"/>
      <c r="MUP48" s="48"/>
      <c r="MUQ48" s="47"/>
      <c r="MUR48" s="62"/>
      <c r="MUS48" s="47"/>
      <c r="MUT48" s="48"/>
      <c r="MUU48" s="47"/>
      <c r="MUV48" s="62"/>
      <c r="MUW48" s="47"/>
      <c r="MUX48" s="48"/>
      <c r="MUY48" s="47"/>
      <c r="MUZ48" s="62"/>
      <c r="MVA48" s="47"/>
      <c r="MVB48" s="48"/>
      <c r="MVC48" s="47"/>
      <c r="MVD48" s="62"/>
      <c r="MVE48" s="47"/>
      <c r="MVF48" s="48"/>
      <c r="MVG48" s="47"/>
      <c r="MVH48" s="62"/>
      <c r="MVI48" s="47"/>
      <c r="MVJ48" s="48"/>
      <c r="MVK48" s="47"/>
      <c r="MVL48" s="62"/>
      <c r="MVM48" s="47"/>
      <c r="MVN48" s="48"/>
      <c r="MVO48" s="47"/>
      <c r="MVP48" s="62"/>
      <c r="MVQ48" s="47"/>
      <c r="MVR48" s="48"/>
      <c r="MVS48" s="47"/>
      <c r="MVT48" s="62"/>
      <c r="MVU48" s="47"/>
      <c r="MVV48" s="48"/>
      <c r="MVW48" s="47"/>
      <c r="MVX48" s="62"/>
      <c r="MVY48" s="47"/>
      <c r="MVZ48" s="48"/>
      <c r="MWA48" s="47"/>
      <c r="MWB48" s="62"/>
      <c r="MWC48" s="47"/>
      <c r="MWD48" s="48"/>
      <c r="MWE48" s="47"/>
      <c r="MWF48" s="62"/>
      <c r="MWG48" s="47"/>
      <c r="MWH48" s="48"/>
      <c r="MWI48" s="47"/>
      <c r="MWJ48" s="62"/>
      <c r="MWK48" s="47"/>
      <c r="MWL48" s="48"/>
      <c r="MWM48" s="47"/>
      <c r="MWN48" s="62"/>
      <c r="MWO48" s="47"/>
      <c r="MWP48" s="48"/>
      <c r="MWQ48" s="47"/>
      <c r="MWR48" s="62"/>
      <c r="MWS48" s="47"/>
      <c r="MWT48" s="48"/>
      <c r="MWU48" s="47"/>
      <c r="MWV48" s="62"/>
      <c r="MWW48" s="47"/>
      <c r="MWX48" s="48"/>
      <c r="MWY48" s="47"/>
      <c r="MWZ48" s="62"/>
      <c r="MXA48" s="47"/>
      <c r="MXB48" s="48"/>
      <c r="MXC48" s="47"/>
      <c r="MXD48" s="62"/>
      <c r="MXE48" s="47"/>
      <c r="MXF48" s="48"/>
      <c r="MXG48" s="47"/>
      <c r="MXH48" s="62"/>
      <c r="MXI48" s="47"/>
      <c r="MXJ48" s="48"/>
      <c r="MXK48" s="47"/>
      <c r="MXL48" s="62"/>
      <c r="MXM48" s="47"/>
      <c r="MXN48" s="48"/>
      <c r="MXO48" s="47"/>
      <c r="MXP48" s="62"/>
      <c r="MXQ48" s="47"/>
      <c r="MXR48" s="48"/>
      <c r="MXS48" s="47"/>
      <c r="MXT48" s="62"/>
      <c r="MXU48" s="47"/>
      <c r="MXV48" s="48"/>
      <c r="MXW48" s="47"/>
      <c r="MXX48" s="62"/>
      <c r="MXY48" s="47"/>
      <c r="MXZ48" s="48"/>
      <c r="MYA48" s="47"/>
      <c r="MYB48" s="62"/>
      <c r="MYC48" s="47"/>
      <c r="MYD48" s="48"/>
      <c r="MYE48" s="47"/>
      <c r="MYF48" s="62"/>
      <c r="MYG48" s="47"/>
      <c r="MYH48" s="48"/>
      <c r="MYI48" s="47"/>
      <c r="MYJ48" s="62"/>
      <c r="MYK48" s="47"/>
      <c r="MYL48" s="48"/>
      <c r="MYM48" s="47"/>
      <c r="MYN48" s="62"/>
      <c r="MYO48" s="47"/>
      <c r="MYP48" s="48"/>
      <c r="MYQ48" s="47"/>
      <c r="MYR48" s="62"/>
      <c r="MYS48" s="47"/>
      <c r="MYT48" s="48"/>
      <c r="MYU48" s="47"/>
      <c r="MYV48" s="62"/>
      <c r="MYW48" s="47"/>
      <c r="MYX48" s="48"/>
      <c r="MYY48" s="47"/>
      <c r="MYZ48" s="62"/>
      <c r="MZA48" s="47"/>
      <c r="MZB48" s="48"/>
      <c r="MZC48" s="47"/>
      <c r="MZD48" s="62"/>
      <c r="MZE48" s="47"/>
      <c r="MZF48" s="48"/>
      <c r="MZG48" s="47"/>
      <c r="MZH48" s="62"/>
      <c r="MZI48" s="47"/>
      <c r="MZJ48" s="48"/>
      <c r="MZK48" s="47"/>
      <c r="MZL48" s="62"/>
      <c r="MZM48" s="47"/>
      <c r="MZN48" s="48"/>
      <c r="MZO48" s="47"/>
      <c r="MZP48" s="62"/>
      <c r="MZQ48" s="47"/>
      <c r="MZR48" s="48"/>
      <c r="MZS48" s="47"/>
      <c r="MZT48" s="62"/>
      <c r="MZU48" s="47"/>
      <c r="MZV48" s="48"/>
      <c r="MZW48" s="47"/>
      <c r="MZX48" s="62"/>
      <c r="MZY48" s="47"/>
      <c r="MZZ48" s="48"/>
      <c r="NAA48" s="47"/>
      <c r="NAB48" s="62"/>
      <c r="NAC48" s="47"/>
      <c r="NAD48" s="48"/>
      <c r="NAE48" s="47"/>
      <c r="NAF48" s="62"/>
      <c r="NAG48" s="47"/>
      <c r="NAH48" s="48"/>
      <c r="NAI48" s="47"/>
      <c r="NAJ48" s="62"/>
      <c r="NAK48" s="47"/>
      <c r="NAL48" s="48"/>
      <c r="NAM48" s="47"/>
      <c r="NAN48" s="62"/>
      <c r="NAO48" s="47"/>
      <c r="NAP48" s="48"/>
      <c r="NAQ48" s="47"/>
      <c r="NAR48" s="62"/>
      <c r="NAS48" s="47"/>
      <c r="NAT48" s="48"/>
      <c r="NAU48" s="47"/>
      <c r="NAV48" s="62"/>
      <c r="NAW48" s="47"/>
      <c r="NAX48" s="48"/>
      <c r="NAY48" s="47"/>
      <c r="NAZ48" s="62"/>
      <c r="NBA48" s="47"/>
      <c r="NBB48" s="48"/>
      <c r="NBC48" s="47"/>
      <c r="NBD48" s="62"/>
      <c r="NBE48" s="47"/>
      <c r="NBF48" s="48"/>
      <c r="NBG48" s="47"/>
      <c r="NBH48" s="62"/>
      <c r="NBI48" s="47"/>
      <c r="NBJ48" s="48"/>
      <c r="NBK48" s="47"/>
      <c r="NBL48" s="62"/>
      <c r="NBM48" s="47"/>
      <c r="NBN48" s="48"/>
      <c r="NBO48" s="47"/>
      <c r="NBP48" s="62"/>
      <c r="NBQ48" s="47"/>
      <c r="NBR48" s="48"/>
      <c r="NBS48" s="47"/>
      <c r="NBT48" s="62"/>
      <c r="NBU48" s="47"/>
      <c r="NBV48" s="48"/>
      <c r="NBW48" s="47"/>
      <c r="NBX48" s="62"/>
      <c r="NBY48" s="47"/>
      <c r="NBZ48" s="48"/>
      <c r="NCA48" s="47"/>
      <c r="NCB48" s="62"/>
      <c r="NCC48" s="47"/>
      <c r="NCD48" s="48"/>
      <c r="NCE48" s="47"/>
      <c r="NCF48" s="62"/>
      <c r="NCG48" s="47"/>
      <c r="NCH48" s="48"/>
      <c r="NCI48" s="47"/>
      <c r="NCJ48" s="62"/>
      <c r="NCK48" s="47"/>
      <c r="NCL48" s="48"/>
      <c r="NCM48" s="47"/>
      <c r="NCN48" s="62"/>
      <c r="NCO48" s="47"/>
      <c r="NCP48" s="48"/>
      <c r="NCQ48" s="47"/>
      <c r="NCR48" s="62"/>
      <c r="NCS48" s="47"/>
      <c r="NCT48" s="48"/>
      <c r="NCU48" s="47"/>
      <c r="NCV48" s="62"/>
      <c r="NCW48" s="47"/>
      <c r="NCX48" s="48"/>
      <c r="NCY48" s="47"/>
      <c r="NCZ48" s="62"/>
      <c r="NDA48" s="47"/>
      <c r="NDB48" s="48"/>
      <c r="NDC48" s="47"/>
      <c r="NDD48" s="62"/>
      <c r="NDE48" s="47"/>
      <c r="NDF48" s="48"/>
      <c r="NDG48" s="47"/>
      <c r="NDH48" s="62"/>
      <c r="NDI48" s="47"/>
      <c r="NDJ48" s="48"/>
      <c r="NDK48" s="47"/>
      <c r="NDL48" s="62"/>
      <c r="NDM48" s="47"/>
      <c r="NDN48" s="48"/>
      <c r="NDO48" s="47"/>
      <c r="NDP48" s="62"/>
      <c r="NDQ48" s="47"/>
      <c r="NDR48" s="48"/>
      <c r="NDS48" s="47"/>
      <c r="NDT48" s="62"/>
      <c r="NDU48" s="47"/>
      <c r="NDV48" s="48"/>
      <c r="NDW48" s="47"/>
      <c r="NDX48" s="62"/>
      <c r="NDY48" s="47"/>
      <c r="NDZ48" s="48"/>
      <c r="NEA48" s="47"/>
      <c r="NEB48" s="62"/>
      <c r="NEC48" s="47"/>
      <c r="NED48" s="48"/>
      <c r="NEE48" s="47"/>
      <c r="NEF48" s="62"/>
      <c r="NEG48" s="47"/>
      <c r="NEH48" s="48"/>
      <c r="NEI48" s="47"/>
      <c r="NEJ48" s="62"/>
      <c r="NEK48" s="47"/>
      <c r="NEL48" s="48"/>
      <c r="NEM48" s="47"/>
      <c r="NEN48" s="62"/>
      <c r="NEO48" s="47"/>
      <c r="NEP48" s="48"/>
      <c r="NEQ48" s="47"/>
      <c r="NER48" s="62"/>
      <c r="NES48" s="47"/>
      <c r="NET48" s="48"/>
      <c r="NEU48" s="47"/>
      <c r="NEV48" s="62"/>
      <c r="NEW48" s="47"/>
      <c r="NEX48" s="48"/>
      <c r="NEY48" s="47"/>
      <c r="NEZ48" s="62"/>
      <c r="NFA48" s="47"/>
      <c r="NFB48" s="48"/>
      <c r="NFC48" s="47"/>
      <c r="NFD48" s="62"/>
      <c r="NFE48" s="47"/>
      <c r="NFF48" s="48"/>
      <c r="NFG48" s="47"/>
      <c r="NFH48" s="62"/>
      <c r="NFI48" s="47"/>
      <c r="NFJ48" s="48"/>
      <c r="NFK48" s="47"/>
      <c r="NFL48" s="62"/>
      <c r="NFM48" s="47"/>
      <c r="NFN48" s="48"/>
      <c r="NFO48" s="47"/>
      <c r="NFP48" s="62"/>
      <c r="NFQ48" s="47"/>
      <c r="NFR48" s="48"/>
      <c r="NFS48" s="47"/>
      <c r="NFT48" s="62"/>
      <c r="NFU48" s="47"/>
      <c r="NFV48" s="48"/>
      <c r="NFW48" s="47"/>
      <c r="NFX48" s="62"/>
      <c r="NFY48" s="47"/>
      <c r="NFZ48" s="48"/>
      <c r="NGA48" s="47"/>
      <c r="NGB48" s="62"/>
      <c r="NGC48" s="47"/>
      <c r="NGD48" s="48"/>
      <c r="NGE48" s="47"/>
      <c r="NGF48" s="62"/>
      <c r="NGG48" s="47"/>
      <c r="NGH48" s="48"/>
      <c r="NGI48" s="47"/>
      <c r="NGJ48" s="62"/>
      <c r="NGK48" s="47"/>
      <c r="NGL48" s="48"/>
      <c r="NGM48" s="47"/>
      <c r="NGN48" s="62"/>
      <c r="NGO48" s="47"/>
      <c r="NGP48" s="48"/>
      <c r="NGQ48" s="47"/>
      <c r="NGR48" s="62"/>
      <c r="NGS48" s="47"/>
      <c r="NGT48" s="48"/>
      <c r="NGU48" s="47"/>
      <c r="NGV48" s="62"/>
      <c r="NGW48" s="47"/>
      <c r="NGX48" s="48"/>
      <c r="NGY48" s="47"/>
      <c r="NGZ48" s="62"/>
      <c r="NHA48" s="47"/>
      <c r="NHB48" s="48"/>
      <c r="NHC48" s="47"/>
      <c r="NHD48" s="62"/>
      <c r="NHE48" s="47"/>
      <c r="NHF48" s="48"/>
      <c r="NHG48" s="47"/>
      <c r="NHH48" s="62"/>
      <c r="NHI48" s="47"/>
      <c r="NHJ48" s="48"/>
      <c r="NHK48" s="47"/>
      <c r="NHL48" s="62"/>
      <c r="NHM48" s="47"/>
      <c r="NHN48" s="48"/>
      <c r="NHO48" s="47"/>
      <c r="NHP48" s="62"/>
      <c r="NHQ48" s="47"/>
      <c r="NHR48" s="48"/>
      <c r="NHS48" s="47"/>
      <c r="NHT48" s="62"/>
      <c r="NHU48" s="47"/>
      <c r="NHV48" s="48"/>
      <c r="NHW48" s="47"/>
      <c r="NHX48" s="62"/>
      <c r="NHY48" s="47"/>
      <c r="NHZ48" s="48"/>
      <c r="NIA48" s="47"/>
      <c r="NIB48" s="62"/>
      <c r="NIC48" s="47"/>
      <c r="NID48" s="48"/>
      <c r="NIE48" s="47"/>
      <c r="NIF48" s="62"/>
      <c r="NIG48" s="47"/>
      <c r="NIH48" s="48"/>
      <c r="NII48" s="47"/>
      <c r="NIJ48" s="62"/>
      <c r="NIK48" s="47"/>
      <c r="NIL48" s="48"/>
      <c r="NIM48" s="47"/>
      <c r="NIN48" s="62"/>
      <c r="NIO48" s="47"/>
      <c r="NIP48" s="48"/>
      <c r="NIQ48" s="47"/>
      <c r="NIR48" s="62"/>
      <c r="NIS48" s="47"/>
      <c r="NIT48" s="48"/>
      <c r="NIU48" s="47"/>
      <c r="NIV48" s="62"/>
      <c r="NIW48" s="47"/>
      <c r="NIX48" s="48"/>
      <c r="NIY48" s="47"/>
      <c r="NIZ48" s="62"/>
      <c r="NJA48" s="47"/>
      <c r="NJB48" s="48"/>
      <c r="NJC48" s="47"/>
      <c r="NJD48" s="62"/>
      <c r="NJE48" s="47"/>
      <c r="NJF48" s="48"/>
      <c r="NJG48" s="47"/>
      <c r="NJH48" s="62"/>
      <c r="NJI48" s="47"/>
      <c r="NJJ48" s="48"/>
      <c r="NJK48" s="47"/>
      <c r="NJL48" s="62"/>
      <c r="NJM48" s="47"/>
      <c r="NJN48" s="48"/>
      <c r="NJO48" s="47"/>
      <c r="NJP48" s="62"/>
      <c r="NJQ48" s="47"/>
      <c r="NJR48" s="48"/>
      <c r="NJS48" s="47"/>
      <c r="NJT48" s="62"/>
      <c r="NJU48" s="47"/>
      <c r="NJV48" s="48"/>
      <c r="NJW48" s="47"/>
      <c r="NJX48" s="62"/>
      <c r="NJY48" s="47"/>
      <c r="NJZ48" s="48"/>
      <c r="NKA48" s="47"/>
      <c r="NKB48" s="62"/>
      <c r="NKC48" s="47"/>
      <c r="NKD48" s="48"/>
      <c r="NKE48" s="47"/>
      <c r="NKF48" s="62"/>
      <c r="NKG48" s="47"/>
      <c r="NKH48" s="48"/>
      <c r="NKI48" s="47"/>
      <c r="NKJ48" s="62"/>
      <c r="NKK48" s="47"/>
      <c r="NKL48" s="48"/>
      <c r="NKM48" s="47"/>
      <c r="NKN48" s="62"/>
      <c r="NKO48" s="47"/>
      <c r="NKP48" s="48"/>
      <c r="NKQ48" s="47"/>
      <c r="NKR48" s="62"/>
      <c r="NKS48" s="47"/>
      <c r="NKT48" s="48"/>
      <c r="NKU48" s="47"/>
      <c r="NKV48" s="62"/>
      <c r="NKW48" s="47"/>
      <c r="NKX48" s="48"/>
      <c r="NKY48" s="47"/>
      <c r="NKZ48" s="62"/>
      <c r="NLA48" s="47"/>
      <c r="NLB48" s="48"/>
      <c r="NLC48" s="47"/>
      <c r="NLD48" s="62"/>
      <c r="NLE48" s="47"/>
      <c r="NLF48" s="48"/>
      <c r="NLG48" s="47"/>
      <c r="NLH48" s="62"/>
      <c r="NLI48" s="47"/>
      <c r="NLJ48" s="48"/>
      <c r="NLK48" s="47"/>
      <c r="NLL48" s="62"/>
      <c r="NLM48" s="47"/>
      <c r="NLN48" s="48"/>
      <c r="NLO48" s="47"/>
      <c r="NLP48" s="62"/>
      <c r="NLQ48" s="47"/>
      <c r="NLR48" s="48"/>
      <c r="NLS48" s="47"/>
      <c r="NLT48" s="62"/>
      <c r="NLU48" s="47"/>
      <c r="NLV48" s="48"/>
      <c r="NLW48" s="47"/>
      <c r="NLX48" s="62"/>
      <c r="NLY48" s="47"/>
      <c r="NLZ48" s="48"/>
      <c r="NMA48" s="47"/>
      <c r="NMB48" s="62"/>
      <c r="NMC48" s="47"/>
      <c r="NMD48" s="48"/>
      <c r="NME48" s="47"/>
      <c r="NMF48" s="62"/>
      <c r="NMG48" s="47"/>
      <c r="NMH48" s="48"/>
      <c r="NMI48" s="47"/>
      <c r="NMJ48" s="62"/>
      <c r="NMK48" s="47"/>
      <c r="NML48" s="48"/>
      <c r="NMM48" s="47"/>
      <c r="NMN48" s="62"/>
      <c r="NMO48" s="47"/>
      <c r="NMP48" s="48"/>
      <c r="NMQ48" s="47"/>
      <c r="NMR48" s="62"/>
      <c r="NMS48" s="47"/>
      <c r="NMT48" s="48"/>
      <c r="NMU48" s="47"/>
      <c r="NMV48" s="62"/>
      <c r="NMW48" s="47"/>
      <c r="NMX48" s="48"/>
      <c r="NMY48" s="47"/>
      <c r="NMZ48" s="62"/>
      <c r="NNA48" s="47"/>
      <c r="NNB48" s="48"/>
      <c r="NNC48" s="47"/>
      <c r="NND48" s="62"/>
      <c r="NNE48" s="47"/>
      <c r="NNF48" s="48"/>
      <c r="NNG48" s="47"/>
      <c r="NNH48" s="62"/>
      <c r="NNI48" s="47"/>
      <c r="NNJ48" s="48"/>
      <c r="NNK48" s="47"/>
      <c r="NNL48" s="62"/>
      <c r="NNM48" s="47"/>
      <c r="NNN48" s="48"/>
      <c r="NNO48" s="47"/>
      <c r="NNP48" s="62"/>
      <c r="NNQ48" s="47"/>
      <c r="NNR48" s="48"/>
      <c r="NNS48" s="47"/>
      <c r="NNT48" s="62"/>
      <c r="NNU48" s="47"/>
      <c r="NNV48" s="48"/>
      <c r="NNW48" s="47"/>
      <c r="NNX48" s="62"/>
      <c r="NNY48" s="47"/>
      <c r="NNZ48" s="48"/>
      <c r="NOA48" s="47"/>
      <c r="NOB48" s="62"/>
      <c r="NOC48" s="47"/>
      <c r="NOD48" s="48"/>
      <c r="NOE48" s="47"/>
      <c r="NOF48" s="62"/>
      <c r="NOG48" s="47"/>
      <c r="NOH48" s="48"/>
      <c r="NOI48" s="47"/>
      <c r="NOJ48" s="62"/>
      <c r="NOK48" s="47"/>
      <c r="NOL48" s="48"/>
      <c r="NOM48" s="47"/>
      <c r="NON48" s="62"/>
      <c r="NOO48" s="47"/>
      <c r="NOP48" s="48"/>
      <c r="NOQ48" s="47"/>
      <c r="NOR48" s="62"/>
      <c r="NOS48" s="47"/>
      <c r="NOT48" s="48"/>
      <c r="NOU48" s="47"/>
      <c r="NOV48" s="62"/>
      <c r="NOW48" s="47"/>
      <c r="NOX48" s="48"/>
      <c r="NOY48" s="47"/>
      <c r="NOZ48" s="62"/>
      <c r="NPA48" s="47"/>
      <c r="NPB48" s="48"/>
      <c r="NPC48" s="47"/>
      <c r="NPD48" s="62"/>
      <c r="NPE48" s="47"/>
      <c r="NPF48" s="48"/>
      <c r="NPG48" s="47"/>
      <c r="NPH48" s="62"/>
      <c r="NPI48" s="47"/>
      <c r="NPJ48" s="48"/>
      <c r="NPK48" s="47"/>
      <c r="NPL48" s="62"/>
      <c r="NPM48" s="47"/>
      <c r="NPN48" s="48"/>
      <c r="NPO48" s="47"/>
      <c r="NPP48" s="62"/>
      <c r="NPQ48" s="47"/>
      <c r="NPR48" s="48"/>
      <c r="NPS48" s="47"/>
      <c r="NPT48" s="62"/>
      <c r="NPU48" s="47"/>
      <c r="NPV48" s="48"/>
      <c r="NPW48" s="47"/>
      <c r="NPX48" s="62"/>
      <c r="NPY48" s="47"/>
      <c r="NPZ48" s="48"/>
      <c r="NQA48" s="47"/>
      <c r="NQB48" s="62"/>
      <c r="NQC48" s="47"/>
      <c r="NQD48" s="48"/>
      <c r="NQE48" s="47"/>
      <c r="NQF48" s="62"/>
      <c r="NQG48" s="47"/>
      <c r="NQH48" s="48"/>
      <c r="NQI48" s="47"/>
      <c r="NQJ48" s="62"/>
      <c r="NQK48" s="47"/>
      <c r="NQL48" s="48"/>
      <c r="NQM48" s="47"/>
      <c r="NQN48" s="62"/>
      <c r="NQO48" s="47"/>
      <c r="NQP48" s="48"/>
      <c r="NQQ48" s="47"/>
      <c r="NQR48" s="62"/>
      <c r="NQS48" s="47"/>
      <c r="NQT48" s="48"/>
      <c r="NQU48" s="47"/>
      <c r="NQV48" s="62"/>
      <c r="NQW48" s="47"/>
      <c r="NQX48" s="48"/>
      <c r="NQY48" s="47"/>
      <c r="NQZ48" s="62"/>
      <c r="NRA48" s="47"/>
      <c r="NRB48" s="48"/>
      <c r="NRC48" s="47"/>
      <c r="NRD48" s="62"/>
      <c r="NRE48" s="47"/>
      <c r="NRF48" s="48"/>
      <c r="NRG48" s="47"/>
      <c r="NRH48" s="62"/>
      <c r="NRI48" s="47"/>
      <c r="NRJ48" s="48"/>
      <c r="NRK48" s="47"/>
      <c r="NRL48" s="62"/>
      <c r="NRM48" s="47"/>
      <c r="NRN48" s="48"/>
      <c r="NRO48" s="47"/>
      <c r="NRP48" s="62"/>
      <c r="NRQ48" s="47"/>
      <c r="NRR48" s="48"/>
      <c r="NRS48" s="47"/>
      <c r="NRT48" s="62"/>
      <c r="NRU48" s="47"/>
      <c r="NRV48" s="48"/>
      <c r="NRW48" s="47"/>
      <c r="NRX48" s="62"/>
      <c r="NRY48" s="47"/>
      <c r="NRZ48" s="48"/>
      <c r="NSA48" s="47"/>
      <c r="NSB48" s="62"/>
      <c r="NSC48" s="47"/>
      <c r="NSD48" s="48"/>
      <c r="NSE48" s="47"/>
      <c r="NSF48" s="62"/>
      <c r="NSG48" s="47"/>
      <c r="NSH48" s="48"/>
      <c r="NSI48" s="47"/>
      <c r="NSJ48" s="62"/>
      <c r="NSK48" s="47"/>
      <c r="NSL48" s="48"/>
      <c r="NSM48" s="47"/>
      <c r="NSN48" s="62"/>
      <c r="NSO48" s="47"/>
      <c r="NSP48" s="48"/>
      <c r="NSQ48" s="47"/>
      <c r="NSR48" s="62"/>
      <c r="NSS48" s="47"/>
      <c r="NST48" s="48"/>
      <c r="NSU48" s="47"/>
      <c r="NSV48" s="62"/>
      <c r="NSW48" s="47"/>
      <c r="NSX48" s="48"/>
      <c r="NSY48" s="47"/>
      <c r="NSZ48" s="62"/>
      <c r="NTA48" s="47"/>
      <c r="NTB48" s="48"/>
      <c r="NTC48" s="47"/>
      <c r="NTD48" s="62"/>
      <c r="NTE48" s="47"/>
      <c r="NTF48" s="48"/>
      <c r="NTG48" s="47"/>
      <c r="NTH48" s="62"/>
      <c r="NTI48" s="47"/>
      <c r="NTJ48" s="48"/>
      <c r="NTK48" s="47"/>
      <c r="NTL48" s="62"/>
      <c r="NTM48" s="47"/>
      <c r="NTN48" s="48"/>
      <c r="NTO48" s="47"/>
      <c r="NTP48" s="62"/>
      <c r="NTQ48" s="47"/>
      <c r="NTR48" s="48"/>
      <c r="NTS48" s="47"/>
      <c r="NTT48" s="62"/>
      <c r="NTU48" s="47"/>
      <c r="NTV48" s="48"/>
      <c r="NTW48" s="47"/>
      <c r="NTX48" s="62"/>
      <c r="NTY48" s="47"/>
      <c r="NTZ48" s="48"/>
      <c r="NUA48" s="47"/>
      <c r="NUB48" s="62"/>
      <c r="NUC48" s="47"/>
      <c r="NUD48" s="48"/>
      <c r="NUE48" s="47"/>
      <c r="NUF48" s="62"/>
      <c r="NUG48" s="47"/>
      <c r="NUH48" s="48"/>
      <c r="NUI48" s="47"/>
      <c r="NUJ48" s="62"/>
      <c r="NUK48" s="47"/>
      <c r="NUL48" s="48"/>
      <c r="NUM48" s="47"/>
      <c r="NUN48" s="62"/>
      <c r="NUO48" s="47"/>
      <c r="NUP48" s="48"/>
      <c r="NUQ48" s="47"/>
      <c r="NUR48" s="62"/>
      <c r="NUS48" s="47"/>
      <c r="NUT48" s="48"/>
      <c r="NUU48" s="47"/>
      <c r="NUV48" s="62"/>
      <c r="NUW48" s="47"/>
      <c r="NUX48" s="48"/>
      <c r="NUY48" s="47"/>
      <c r="NUZ48" s="62"/>
      <c r="NVA48" s="47"/>
      <c r="NVB48" s="48"/>
      <c r="NVC48" s="47"/>
      <c r="NVD48" s="62"/>
      <c r="NVE48" s="47"/>
      <c r="NVF48" s="48"/>
      <c r="NVG48" s="47"/>
      <c r="NVH48" s="62"/>
      <c r="NVI48" s="47"/>
      <c r="NVJ48" s="48"/>
      <c r="NVK48" s="47"/>
      <c r="NVL48" s="62"/>
      <c r="NVM48" s="47"/>
      <c r="NVN48" s="48"/>
      <c r="NVO48" s="47"/>
      <c r="NVP48" s="62"/>
      <c r="NVQ48" s="47"/>
      <c r="NVR48" s="48"/>
      <c r="NVS48" s="47"/>
      <c r="NVT48" s="62"/>
      <c r="NVU48" s="47"/>
      <c r="NVV48" s="48"/>
      <c r="NVW48" s="47"/>
      <c r="NVX48" s="62"/>
      <c r="NVY48" s="47"/>
      <c r="NVZ48" s="48"/>
      <c r="NWA48" s="47"/>
      <c r="NWB48" s="62"/>
      <c r="NWC48" s="47"/>
      <c r="NWD48" s="48"/>
      <c r="NWE48" s="47"/>
      <c r="NWF48" s="62"/>
      <c r="NWG48" s="47"/>
      <c r="NWH48" s="48"/>
      <c r="NWI48" s="47"/>
      <c r="NWJ48" s="62"/>
      <c r="NWK48" s="47"/>
      <c r="NWL48" s="48"/>
      <c r="NWM48" s="47"/>
      <c r="NWN48" s="62"/>
      <c r="NWO48" s="47"/>
      <c r="NWP48" s="48"/>
      <c r="NWQ48" s="47"/>
      <c r="NWR48" s="62"/>
      <c r="NWS48" s="47"/>
      <c r="NWT48" s="48"/>
      <c r="NWU48" s="47"/>
      <c r="NWV48" s="62"/>
      <c r="NWW48" s="47"/>
      <c r="NWX48" s="48"/>
      <c r="NWY48" s="47"/>
      <c r="NWZ48" s="62"/>
      <c r="NXA48" s="47"/>
      <c r="NXB48" s="48"/>
      <c r="NXC48" s="47"/>
      <c r="NXD48" s="62"/>
      <c r="NXE48" s="47"/>
      <c r="NXF48" s="48"/>
      <c r="NXG48" s="47"/>
      <c r="NXH48" s="62"/>
      <c r="NXI48" s="47"/>
      <c r="NXJ48" s="48"/>
      <c r="NXK48" s="47"/>
      <c r="NXL48" s="62"/>
      <c r="NXM48" s="47"/>
      <c r="NXN48" s="48"/>
      <c r="NXO48" s="47"/>
      <c r="NXP48" s="62"/>
      <c r="NXQ48" s="47"/>
      <c r="NXR48" s="48"/>
      <c r="NXS48" s="47"/>
      <c r="NXT48" s="62"/>
      <c r="NXU48" s="47"/>
      <c r="NXV48" s="48"/>
      <c r="NXW48" s="47"/>
      <c r="NXX48" s="62"/>
      <c r="NXY48" s="47"/>
      <c r="NXZ48" s="48"/>
      <c r="NYA48" s="47"/>
      <c r="NYB48" s="62"/>
      <c r="NYC48" s="47"/>
      <c r="NYD48" s="48"/>
      <c r="NYE48" s="47"/>
      <c r="NYF48" s="62"/>
      <c r="NYG48" s="47"/>
      <c r="NYH48" s="48"/>
      <c r="NYI48" s="47"/>
      <c r="NYJ48" s="62"/>
      <c r="NYK48" s="47"/>
      <c r="NYL48" s="48"/>
      <c r="NYM48" s="47"/>
      <c r="NYN48" s="62"/>
      <c r="NYO48" s="47"/>
      <c r="NYP48" s="48"/>
      <c r="NYQ48" s="47"/>
      <c r="NYR48" s="62"/>
      <c r="NYS48" s="47"/>
      <c r="NYT48" s="48"/>
      <c r="NYU48" s="47"/>
      <c r="NYV48" s="62"/>
      <c r="NYW48" s="47"/>
      <c r="NYX48" s="48"/>
      <c r="NYY48" s="47"/>
      <c r="NYZ48" s="62"/>
      <c r="NZA48" s="47"/>
      <c r="NZB48" s="48"/>
      <c r="NZC48" s="47"/>
      <c r="NZD48" s="62"/>
      <c r="NZE48" s="47"/>
      <c r="NZF48" s="48"/>
      <c r="NZG48" s="47"/>
      <c r="NZH48" s="62"/>
      <c r="NZI48" s="47"/>
      <c r="NZJ48" s="48"/>
      <c r="NZK48" s="47"/>
      <c r="NZL48" s="62"/>
      <c r="NZM48" s="47"/>
      <c r="NZN48" s="48"/>
      <c r="NZO48" s="47"/>
      <c r="NZP48" s="62"/>
      <c r="NZQ48" s="47"/>
      <c r="NZR48" s="48"/>
      <c r="NZS48" s="47"/>
      <c r="NZT48" s="62"/>
      <c r="NZU48" s="47"/>
      <c r="NZV48" s="48"/>
      <c r="NZW48" s="47"/>
      <c r="NZX48" s="62"/>
      <c r="NZY48" s="47"/>
      <c r="NZZ48" s="48"/>
      <c r="OAA48" s="47"/>
      <c r="OAB48" s="62"/>
      <c r="OAC48" s="47"/>
      <c r="OAD48" s="48"/>
      <c r="OAE48" s="47"/>
      <c r="OAF48" s="62"/>
      <c r="OAG48" s="47"/>
      <c r="OAH48" s="48"/>
      <c r="OAI48" s="47"/>
      <c r="OAJ48" s="62"/>
      <c r="OAK48" s="47"/>
      <c r="OAL48" s="48"/>
      <c r="OAM48" s="47"/>
      <c r="OAN48" s="62"/>
      <c r="OAO48" s="47"/>
      <c r="OAP48" s="48"/>
      <c r="OAQ48" s="47"/>
      <c r="OAR48" s="62"/>
      <c r="OAS48" s="47"/>
      <c r="OAT48" s="48"/>
      <c r="OAU48" s="47"/>
      <c r="OAV48" s="62"/>
      <c r="OAW48" s="47"/>
      <c r="OAX48" s="48"/>
      <c r="OAY48" s="47"/>
      <c r="OAZ48" s="62"/>
      <c r="OBA48" s="47"/>
      <c r="OBB48" s="48"/>
      <c r="OBC48" s="47"/>
      <c r="OBD48" s="62"/>
      <c r="OBE48" s="47"/>
      <c r="OBF48" s="48"/>
      <c r="OBG48" s="47"/>
      <c r="OBH48" s="62"/>
      <c r="OBI48" s="47"/>
      <c r="OBJ48" s="48"/>
      <c r="OBK48" s="47"/>
      <c r="OBL48" s="62"/>
      <c r="OBM48" s="47"/>
      <c r="OBN48" s="48"/>
      <c r="OBO48" s="47"/>
      <c r="OBP48" s="62"/>
      <c r="OBQ48" s="47"/>
      <c r="OBR48" s="48"/>
      <c r="OBS48" s="47"/>
      <c r="OBT48" s="62"/>
      <c r="OBU48" s="47"/>
      <c r="OBV48" s="48"/>
      <c r="OBW48" s="47"/>
      <c r="OBX48" s="62"/>
      <c r="OBY48" s="47"/>
      <c r="OBZ48" s="48"/>
      <c r="OCA48" s="47"/>
      <c r="OCB48" s="62"/>
      <c r="OCC48" s="47"/>
      <c r="OCD48" s="48"/>
      <c r="OCE48" s="47"/>
      <c r="OCF48" s="62"/>
      <c r="OCG48" s="47"/>
      <c r="OCH48" s="48"/>
      <c r="OCI48" s="47"/>
      <c r="OCJ48" s="62"/>
      <c r="OCK48" s="47"/>
      <c r="OCL48" s="48"/>
      <c r="OCM48" s="47"/>
      <c r="OCN48" s="62"/>
      <c r="OCO48" s="47"/>
      <c r="OCP48" s="48"/>
      <c r="OCQ48" s="47"/>
      <c r="OCR48" s="62"/>
      <c r="OCS48" s="47"/>
      <c r="OCT48" s="48"/>
      <c r="OCU48" s="47"/>
      <c r="OCV48" s="62"/>
      <c r="OCW48" s="47"/>
      <c r="OCX48" s="48"/>
      <c r="OCY48" s="47"/>
      <c r="OCZ48" s="62"/>
      <c r="ODA48" s="47"/>
      <c r="ODB48" s="48"/>
      <c r="ODC48" s="47"/>
      <c r="ODD48" s="62"/>
      <c r="ODE48" s="47"/>
      <c r="ODF48" s="48"/>
      <c r="ODG48" s="47"/>
      <c r="ODH48" s="62"/>
      <c r="ODI48" s="47"/>
      <c r="ODJ48" s="48"/>
      <c r="ODK48" s="47"/>
      <c r="ODL48" s="62"/>
      <c r="ODM48" s="47"/>
      <c r="ODN48" s="48"/>
      <c r="ODO48" s="47"/>
      <c r="ODP48" s="62"/>
      <c r="ODQ48" s="47"/>
      <c r="ODR48" s="48"/>
      <c r="ODS48" s="47"/>
      <c r="ODT48" s="62"/>
      <c r="ODU48" s="47"/>
      <c r="ODV48" s="48"/>
      <c r="ODW48" s="47"/>
      <c r="ODX48" s="62"/>
      <c r="ODY48" s="47"/>
      <c r="ODZ48" s="48"/>
      <c r="OEA48" s="47"/>
      <c r="OEB48" s="62"/>
      <c r="OEC48" s="47"/>
      <c r="OED48" s="48"/>
      <c r="OEE48" s="47"/>
      <c r="OEF48" s="62"/>
      <c r="OEG48" s="47"/>
      <c r="OEH48" s="48"/>
      <c r="OEI48" s="47"/>
      <c r="OEJ48" s="62"/>
      <c r="OEK48" s="47"/>
      <c r="OEL48" s="48"/>
      <c r="OEM48" s="47"/>
      <c r="OEN48" s="62"/>
      <c r="OEO48" s="47"/>
      <c r="OEP48" s="48"/>
      <c r="OEQ48" s="47"/>
      <c r="OER48" s="62"/>
      <c r="OES48" s="47"/>
      <c r="OET48" s="48"/>
      <c r="OEU48" s="47"/>
      <c r="OEV48" s="62"/>
      <c r="OEW48" s="47"/>
      <c r="OEX48" s="48"/>
      <c r="OEY48" s="47"/>
      <c r="OEZ48" s="62"/>
      <c r="OFA48" s="47"/>
      <c r="OFB48" s="48"/>
      <c r="OFC48" s="47"/>
      <c r="OFD48" s="62"/>
      <c r="OFE48" s="47"/>
      <c r="OFF48" s="48"/>
      <c r="OFG48" s="47"/>
      <c r="OFH48" s="62"/>
      <c r="OFI48" s="47"/>
      <c r="OFJ48" s="48"/>
      <c r="OFK48" s="47"/>
      <c r="OFL48" s="62"/>
      <c r="OFM48" s="47"/>
      <c r="OFN48" s="48"/>
      <c r="OFO48" s="47"/>
      <c r="OFP48" s="62"/>
      <c r="OFQ48" s="47"/>
      <c r="OFR48" s="48"/>
      <c r="OFS48" s="47"/>
      <c r="OFT48" s="62"/>
      <c r="OFU48" s="47"/>
      <c r="OFV48" s="48"/>
      <c r="OFW48" s="47"/>
      <c r="OFX48" s="62"/>
      <c r="OFY48" s="47"/>
      <c r="OFZ48" s="48"/>
      <c r="OGA48" s="47"/>
      <c r="OGB48" s="62"/>
      <c r="OGC48" s="47"/>
      <c r="OGD48" s="48"/>
      <c r="OGE48" s="47"/>
      <c r="OGF48" s="62"/>
      <c r="OGG48" s="47"/>
      <c r="OGH48" s="48"/>
      <c r="OGI48" s="47"/>
      <c r="OGJ48" s="62"/>
      <c r="OGK48" s="47"/>
      <c r="OGL48" s="48"/>
      <c r="OGM48" s="47"/>
      <c r="OGN48" s="62"/>
      <c r="OGO48" s="47"/>
      <c r="OGP48" s="48"/>
      <c r="OGQ48" s="47"/>
      <c r="OGR48" s="62"/>
      <c r="OGS48" s="47"/>
      <c r="OGT48" s="48"/>
      <c r="OGU48" s="47"/>
      <c r="OGV48" s="62"/>
      <c r="OGW48" s="47"/>
      <c r="OGX48" s="48"/>
      <c r="OGY48" s="47"/>
      <c r="OGZ48" s="62"/>
      <c r="OHA48" s="47"/>
      <c r="OHB48" s="48"/>
      <c r="OHC48" s="47"/>
      <c r="OHD48" s="62"/>
      <c r="OHE48" s="47"/>
      <c r="OHF48" s="48"/>
      <c r="OHG48" s="47"/>
      <c r="OHH48" s="62"/>
      <c r="OHI48" s="47"/>
      <c r="OHJ48" s="48"/>
      <c r="OHK48" s="47"/>
      <c r="OHL48" s="62"/>
      <c r="OHM48" s="47"/>
      <c r="OHN48" s="48"/>
      <c r="OHO48" s="47"/>
      <c r="OHP48" s="62"/>
      <c r="OHQ48" s="47"/>
      <c r="OHR48" s="48"/>
      <c r="OHS48" s="47"/>
      <c r="OHT48" s="62"/>
      <c r="OHU48" s="47"/>
      <c r="OHV48" s="48"/>
      <c r="OHW48" s="47"/>
      <c r="OHX48" s="62"/>
      <c r="OHY48" s="47"/>
      <c r="OHZ48" s="48"/>
      <c r="OIA48" s="47"/>
      <c r="OIB48" s="62"/>
      <c r="OIC48" s="47"/>
      <c r="OID48" s="48"/>
      <c r="OIE48" s="47"/>
      <c r="OIF48" s="62"/>
      <c r="OIG48" s="47"/>
      <c r="OIH48" s="48"/>
      <c r="OII48" s="47"/>
      <c r="OIJ48" s="62"/>
      <c r="OIK48" s="47"/>
      <c r="OIL48" s="48"/>
      <c r="OIM48" s="47"/>
      <c r="OIN48" s="62"/>
      <c r="OIO48" s="47"/>
      <c r="OIP48" s="48"/>
      <c r="OIQ48" s="47"/>
      <c r="OIR48" s="62"/>
      <c r="OIS48" s="47"/>
      <c r="OIT48" s="48"/>
      <c r="OIU48" s="47"/>
      <c r="OIV48" s="62"/>
      <c r="OIW48" s="47"/>
      <c r="OIX48" s="48"/>
      <c r="OIY48" s="47"/>
      <c r="OIZ48" s="62"/>
      <c r="OJA48" s="47"/>
      <c r="OJB48" s="48"/>
      <c r="OJC48" s="47"/>
      <c r="OJD48" s="62"/>
      <c r="OJE48" s="47"/>
      <c r="OJF48" s="48"/>
      <c r="OJG48" s="47"/>
      <c r="OJH48" s="62"/>
      <c r="OJI48" s="47"/>
      <c r="OJJ48" s="48"/>
      <c r="OJK48" s="47"/>
      <c r="OJL48" s="62"/>
      <c r="OJM48" s="47"/>
      <c r="OJN48" s="48"/>
      <c r="OJO48" s="47"/>
      <c r="OJP48" s="62"/>
      <c r="OJQ48" s="47"/>
      <c r="OJR48" s="48"/>
      <c r="OJS48" s="47"/>
      <c r="OJT48" s="62"/>
      <c r="OJU48" s="47"/>
      <c r="OJV48" s="48"/>
      <c r="OJW48" s="47"/>
      <c r="OJX48" s="62"/>
      <c r="OJY48" s="47"/>
      <c r="OJZ48" s="48"/>
      <c r="OKA48" s="47"/>
      <c r="OKB48" s="62"/>
      <c r="OKC48" s="47"/>
      <c r="OKD48" s="48"/>
      <c r="OKE48" s="47"/>
      <c r="OKF48" s="62"/>
      <c r="OKG48" s="47"/>
      <c r="OKH48" s="48"/>
      <c r="OKI48" s="47"/>
      <c r="OKJ48" s="62"/>
      <c r="OKK48" s="47"/>
      <c r="OKL48" s="48"/>
      <c r="OKM48" s="47"/>
      <c r="OKN48" s="62"/>
      <c r="OKO48" s="47"/>
      <c r="OKP48" s="48"/>
      <c r="OKQ48" s="47"/>
      <c r="OKR48" s="62"/>
      <c r="OKS48" s="47"/>
      <c r="OKT48" s="48"/>
      <c r="OKU48" s="47"/>
      <c r="OKV48" s="62"/>
      <c r="OKW48" s="47"/>
      <c r="OKX48" s="48"/>
      <c r="OKY48" s="47"/>
      <c r="OKZ48" s="62"/>
      <c r="OLA48" s="47"/>
      <c r="OLB48" s="48"/>
      <c r="OLC48" s="47"/>
      <c r="OLD48" s="62"/>
      <c r="OLE48" s="47"/>
      <c r="OLF48" s="48"/>
      <c r="OLG48" s="47"/>
      <c r="OLH48" s="62"/>
      <c r="OLI48" s="47"/>
      <c r="OLJ48" s="48"/>
      <c r="OLK48" s="47"/>
      <c r="OLL48" s="62"/>
      <c r="OLM48" s="47"/>
      <c r="OLN48" s="48"/>
      <c r="OLO48" s="47"/>
      <c r="OLP48" s="62"/>
      <c r="OLQ48" s="47"/>
      <c r="OLR48" s="48"/>
      <c r="OLS48" s="47"/>
      <c r="OLT48" s="62"/>
      <c r="OLU48" s="47"/>
      <c r="OLV48" s="48"/>
      <c r="OLW48" s="47"/>
      <c r="OLX48" s="62"/>
      <c r="OLY48" s="47"/>
      <c r="OLZ48" s="48"/>
      <c r="OMA48" s="47"/>
      <c r="OMB48" s="62"/>
      <c r="OMC48" s="47"/>
      <c r="OMD48" s="48"/>
      <c r="OME48" s="47"/>
      <c r="OMF48" s="62"/>
      <c r="OMG48" s="47"/>
      <c r="OMH48" s="48"/>
      <c r="OMI48" s="47"/>
      <c r="OMJ48" s="62"/>
      <c r="OMK48" s="47"/>
      <c r="OML48" s="48"/>
      <c r="OMM48" s="47"/>
      <c r="OMN48" s="62"/>
      <c r="OMO48" s="47"/>
      <c r="OMP48" s="48"/>
      <c r="OMQ48" s="47"/>
      <c r="OMR48" s="62"/>
      <c r="OMS48" s="47"/>
      <c r="OMT48" s="48"/>
      <c r="OMU48" s="47"/>
      <c r="OMV48" s="62"/>
      <c r="OMW48" s="47"/>
      <c r="OMX48" s="48"/>
      <c r="OMY48" s="47"/>
      <c r="OMZ48" s="62"/>
      <c r="ONA48" s="47"/>
      <c r="ONB48" s="48"/>
      <c r="ONC48" s="47"/>
      <c r="OND48" s="62"/>
      <c r="ONE48" s="47"/>
      <c r="ONF48" s="48"/>
      <c r="ONG48" s="47"/>
      <c r="ONH48" s="62"/>
      <c r="ONI48" s="47"/>
      <c r="ONJ48" s="48"/>
      <c r="ONK48" s="47"/>
      <c r="ONL48" s="62"/>
      <c r="ONM48" s="47"/>
      <c r="ONN48" s="48"/>
      <c r="ONO48" s="47"/>
      <c r="ONP48" s="62"/>
      <c r="ONQ48" s="47"/>
      <c r="ONR48" s="48"/>
      <c r="ONS48" s="47"/>
      <c r="ONT48" s="62"/>
      <c r="ONU48" s="47"/>
      <c r="ONV48" s="48"/>
      <c r="ONW48" s="47"/>
      <c r="ONX48" s="62"/>
      <c r="ONY48" s="47"/>
      <c r="ONZ48" s="48"/>
      <c r="OOA48" s="47"/>
      <c r="OOB48" s="62"/>
      <c r="OOC48" s="47"/>
      <c r="OOD48" s="48"/>
      <c r="OOE48" s="47"/>
      <c r="OOF48" s="62"/>
      <c r="OOG48" s="47"/>
      <c r="OOH48" s="48"/>
      <c r="OOI48" s="47"/>
      <c r="OOJ48" s="62"/>
      <c r="OOK48" s="47"/>
      <c r="OOL48" s="48"/>
      <c r="OOM48" s="47"/>
      <c r="OON48" s="62"/>
      <c r="OOO48" s="47"/>
      <c r="OOP48" s="48"/>
      <c r="OOQ48" s="47"/>
      <c r="OOR48" s="62"/>
      <c r="OOS48" s="47"/>
      <c r="OOT48" s="48"/>
      <c r="OOU48" s="47"/>
      <c r="OOV48" s="62"/>
      <c r="OOW48" s="47"/>
      <c r="OOX48" s="48"/>
      <c r="OOY48" s="47"/>
      <c r="OOZ48" s="62"/>
      <c r="OPA48" s="47"/>
      <c r="OPB48" s="48"/>
      <c r="OPC48" s="47"/>
      <c r="OPD48" s="62"/>
      <c r="OPE48" s="47"/>
      <c r="OPF48" s="48"/>
      <c r="OPG48" s="47"/>
      <c r="OPH48" s="62"/>
      <c r="OPI48" s="47"/>
      <c r="OPJ48" s="48"/>
      <c r="OPK48" s="47"/>
      <c r="OPL48" s="62"/>
      <c r="OPM48" s="47"/>
      <c r="OPN48" s="48"/>
      <c r="OPO48" s="47"/>
      <c r="OPP48" s="62"/>
      <c r="OPQ48" s="47"/>
      <c r="OPR48" s="48"/>
      <c r="OPS48" s="47"/>
      <c r="OPT48" s="62"/>
      <c r="OPU48" s="47"/>
      <c r="OPV48" s="48"/>
      <c r="OPW48" s="47"/>
      <c r="OPX48" s="62"/>
      <c r="OPY48" s="47"/>
      <c r="OPZ48" s="48"/>
      <c r="OQA48" s="47"/>
      <c r="OQB48" s="62"/>
      <c r="OQC48" s="47"/>
      <c r="OQD48" s="48"/>
      <c r="OQE48" s="47"/>
      <c r="OQF48" s="62"/>
      <c r="OQG48" s="47"/>
      <c r="OQH48" s="48"/>
      <c r="OQI48" s="47"/>
      <c r="OQJ48" s="62"/>
      <c r="OQK48" s="47"/>
      <c r="OQL48" s="48"/>
      <c r="OQM48" s="47"/>
      <c r="OQN48" s="62"/>
      <c r="OQO48" s="47"/>
      <c r="OQP48" s="48"/>
      <c r="OQQ48" s="47"/>
      <c r="OQR48" s="62"/>
      <c r="OQS48" s="47"/>
      <c r="OQT48" s="48"/>
      <c r="OQU48" s="47"/>
      <c r="OQV48" s="62"/>
      <c r="OQW48" s="47"/>
      <c r="OQX48" s="48"/>
      <c r="OQY48" s="47"/>
      <c r="OQZ48" s="62"/>
      <c r="ORA48" s="47"/>
      <c r="ORB48" s="48"/>
      <c r="ORC48" s="47"/>
      <c r="ORD48" s="62"/>
      <c r="ORE48" s="47"/>
      <c r="ORF48" s="48"/>
      <c r="ORG48" s="47"/>
      <c r="ORH48" s="62"/>
      <c r="ORI48" s="47"/>
      <c r="ORJ48" s="48"/>
      <c r="ORK48" s="47"/>
      <c r="ORL48" s="62"/>
      <c r="ORM48" s="47"/>
      <c r="ORN48" s="48"/>
      <c r="ORO48" s="47"/>
      <c r="ORP48" s="62"/>
      <c r="ORQ48" s="47"/>
      <c r="ORR48" s="48"/>
      <c r="ORS48" s="47"/>
      <c r="ORT48" s="62"/>
      <c r="ORU48" s="47"/>
      <c r="ORV48" s="48"/>
      <c r="ORW48" s="47"/>
      <c r="ORX48" s="62"/>
      <c r="ORY48" s="47"/>
      <c r="ORZ48" s="48"/>
      <c r="OSA48" s="47"/>
      <c r="OSB48" s="62"/>
      <c r="OSC48" s="47"/>
      <c r="OSD48" s="48"/>
      <c r="OSE48" s="47"/>
      <c r="OSF48" s="62"/>
      <c r="OSG48" s="47"/>
      <c r="OSH48" s="48"/>
      <c r="OSI48" s="47"/>
      <c r="OSJ48" s="62"/>
      <c r="OSK48" s="47"/>
      <c r="OSL48" s="48"/>
      <c r="OSM48" s="47"/>
      <c r="OSN48" s="62"/>
      <c r="OSO48" s="47"/>
      <c r="OSP48" s="48"/>
      <c r="OSQ48" s="47"/>
      <c r="OSR48" s="62"/>
      <c r="OSS48" s="47"/>
      <c r="OST48" s="48"/>
      <c r="OSU48" s="47"/>
      <c r="OSV48" s="62"/>
      <c r="OSW48" s="47"/>
      <c r="OSX48" s="48"/>
      <c r="OSY48" s="47"/>
      <c r="OSZ48" s="62"/>
      <c r="OTA48" s="47"/>
      <c r="OTB48" s="48"/>
      <c r="OTC48" s="47"/>
      <c r="OTD48" s="62"/>
      <c r="OTE48" s="47"/>
      <c r="OTF48" s="48"/>
      <c r="OTG48" s="47"/>
      <c r="OTH48" s="62"/>
      <c r="OTI48" s="47"/>
      <c r="OTJ48" s="48"/>
      <c r="OTK48" s="47"/>
      <c r="OTL48" s="62"/>
      <c r="OTM48" s="47"/>
      <c r="OTN48" s="48"/>
      <c r="OTO48" s="47"/>
      <c r="OTP48" s="62"/>
      <c r="OTQ48" s="47"/>
      <c r="OTR48" s="48"/>
      <c r="OTS48" s="47"/>
      <c r="OTT48" s="62"/>
      <c r="OTU48" s="47"/>
      <c r="OTV48" s="48"/>
      <c r="OTW48" s="47"/>
      <c r="OTX48" s="62"/>
      <c r="OTY48" s="47"/>
      <c r="OTZ48" s="48"/>
      <c r="OUA48" s="47"/>
      <c r="OUB48" s="62"/>
      <c r="OUC48" s="47"/>
      <c r="OUD48" s="48"/>
      <c r="OUE48" s="47"/>
      <c r="OUF48" s="62"/>
      <c r="OUG48" s="47"/>
      <c r="OUH48" s="48"/>
      <c r="OUI48" s="47"/>
      <c r="OUJ48" s="62"/>
      <c r="OUK48" s="47"/>
      <c r="OUL48" s="48"/>
      <c r="OUM48" s="47"/>
      <c r="OUN48" s="62"/>
      <c r="OUO48" s="47"/>
      <c r="OUP48" s="48"/>
      <c r="OUQ48" s="47"/>
      <c r="OUR48" s="62"/>
      <c r="OUS48" s="47"/>
      <c r="OUT48" s="48"/>
      <c r="OUU48" s="47"/>
      <c r="OUV48" s="62"/>
      <c r="OUW48" s="47"/>
      <c r="OUX48" s="48"/>
      <c r="OUY48" s="47"/>
      <c r="OUZ48" s="62"/>
      <c r="OVA48" s="47"/>
      <c r="OVB48" s="48"/>
      <c r="OVC48" s="47"/>
      <c r="OVD48" s="62"/>
      <c r="OVE48" s="47"/>
      <c r="OVF48" s="48"/>
      <c r="OVG48" s="47"/>
      <c r="OVH48" s="62"/>
      <c r="OVI48" s="47"/>
      <c r="OVJ48" s="48"/>
      <c r="OVK48" s="47"/>
      <c r="OVL48" s="62"/>
      <c r="OVM48" s="47"/>
      <c r="OVN48" s="48"/>
      <c r="OVO48" s="47"/>
      <c r="OVP48" s="62"/>
      <c r="OVQ48" s="47"/>
      <c r="OVR48" s="48"/>
      <c r="OVS48" s="47"/>
      <c r="OVT48" s="62"/>
      <c r="OVU48" s="47"/>
      <c r="OVV48" s="48"/>
      <c r="OVW48" s="47"/>
      <c r="OVX48" s="62"/>
      <c r="OVY48" s="47"/>
      <c r="OVZ48" s="48"/>
      <c r="OWA48" s="47"/>
      <c r="OWB48" s="62"/>
      <c r="OWC48" s="47"/>
      <c r="OWD48" s="48"/>
      <c r="OWE48" s="47"/>
      <c r="OWF48" s="62"/>
      <c r="OWG48" s="47"/>
      <c r="OWH48" s="48"/>
      <c r="OWI48" s="47"/>
      <c r="OWJ48" s="62"/>
      <c r="OWK48" s="47"/>
      <c r="OWL48" s="48"/>
      <c r="OWM48" s="47"/>
      <c r="OWN48" s="62"/>
      <c r="OWO48" s="47"/>
      <c r="OWP48" s="48"/>
      <c r="OWQ48" s="47"/>
      <c r="OWR48" s="62"/>
      <c r="OWS48" s="47"/>
      <c r="OWT48" s="48"/>
      <c r="OWU48" s="47"/>
      <c r="OWV48" s="62"/>
      <c r="OWW48" s="47"/>
      <c r="OWX48" s="48"/>
      <c r="OWY48" s="47"/>
      <c r="OWZ48" s="62"/>
      <c r="OXA48" s="47"/>
      <c r="OXB48" s="48"/>
      <c r="OXC48" s="47"/>
      <c r="OXD48" s="62"/>
      <c r="OXE48" s="47"/>
      <c r="OXF48" s="48"/>
      <c r="OXG48" s="47"/>
      <c r="OXH48" s="62"/>
      <c r="OXI48" s="47"/>
      <c r="OXJ48" s="48"/>
      <c r="OXK48" s="47"/>
      <c r="OXL48" s="62"/>
      <c r="OXM48" s="47"/>
      <c r="OXN48" s="48"/>
      <c r="OXO48" s="47"/>
      <c r="OXP48" s="62"/>
      <c r="OXQ48" s="47"/>
      <c r="OXR48" s="48"/>
      <c r="OXS48" s="47"/>
      <c r="OXT48" s="62"/>
      <c r="OXU48" s="47"/>
      <c r="OXV48" s="48"/>
      <c r="OXW48" s="47"/>
      <c r="OXX48" s="62"/>
      <c r="OXY48" s="47"/>
      <c r="OXZ48" s="48"/>
      <c r="OYA48" s="47"/>
      <c r="OYB48" s="62"/>
      <c r="OYC48" s="47"/>
      <c r="OYD48" s="48"/>
      <c r="OYE48" s="47"/>
      <c r="OYF48" s="62"/>
      <c r="OYG48" s="47"/>
      <c r="OYH48" s="48"/>
      <c r="OYI48" s="47"/>
      <c r="OYJ48" s="62"/>
      <c r="OYK48" s="47"/>
      <c r="OYL48" s="48"/>
      <c r="OYM48" s="47"/>
      <c r="OYN48" s="62"/>
      <c r="OYO48" s="47"/>
      <c r="OYP48" s="48"/>
      <c r="OYQ48" s="47"/>
      <c r="OYR48" s="62"/>
      <c r="OYS48" s="47"/>
      <c r="OYT48" s="48"/>
      <c r="OYU48" s="47"/>
      <c r="OYV48" s="62"/>
      <c r="OYW48" s="47"/>
      <c r="OYX48" s="48"/>
      <c r="OYY48" s="47"/>
      <c r="OYZ48" s="62"/>
      <c r="OZA48" s="47"/>
      <c r="OZB48" s="48"/>
      <c r="OZC48" s="47"/>
      <c r="OZD48" s="62"/>
      <c r="OZE48" s="47"/>
      <c r="OZF48" s="48"/>
      <c r="OZG48" s="47"/>
      <c r="OZH48" s="62"/>
      <c r="OZI48" s="47"/>
      <c r="OZJ48" s="48"/>
      <c r="OZK48" s="47"/>
      <c r="OZL48" s="62"/>
      <c r="OZM48" s="47"/>
      <c r="OZN48" s="48"/>
      <c r="OZO48" s="47"/>
      <c r="OZP48" s="62"/>
      <c r="OZQ48" s="47"/>
      <c r="OZR48" s="48"/>
      <c r="OZS48" s="47"/>
      <c r="OZT48" s="62"/>
      <c r="OZU48" s="47"/>
      <c r="OZV48" s="48"/>
      <c r="OZW48" s="47"/>
      <c r="OZX48" s="62"/>
      <c r="OZY48" s="47"/>
      <c r="OZZ48" s="48"/>
      <c r="PAA48" s="47"/>
      <c r="PAB48" s="62"/>
      <c r="PAC48" s="47"/>
      <c r="PAD48" s="48"/>
      <c r="PAE48" s="47"/>
      <c r="PAF48" s="62"/>
      <c r="PAG48" s="47"/>
      <c r="PAH48" s="48"/>
      <c r="PAI48" s="47"/>
      <c r="PAJ48" s="62"/>
      <c r="PAK48" s="47"/>
      <c r="PAL48" s="48"/>
      <c r="PAM48" s="47"/>
      <c r="PAN48" s="62"/>
      <c r="PAO48" s="47"/>
      <c r="PAP48" s="48"/>
      <c r="PAQ48" s="47"/>
      <c r="PAR48" s="62"/>
      <c r="PAS48" s="47"/>
      <c r="PAT48" s="48"/>
      <c r="PAU48" s="47"/>
      <c r="PAV48" s="62"/>
      <c r="PAW48" s="47"/>
      <c r="PAX48" s="48"/>
      <c r="PAY48" s="47"/>
      <c r="PAZ48" s="62"/>
      <c r="PBA48" s="47"/>
      <c r="PBB48" s="48"/>
      <c r="PBC48" s="47"/>
      <c r="PBD48" s="62"/>
      <c r="PBE48" s="47"/>
      <c r="PBF48" s="48"/>
      <c r="PBG48" s="47"/>
      <c r="PBH48" s="62"/>
      <c r="PBI48" s="47"/>
      <c r="PBJ48" s="48"/>
      <c r="PBK48" s="47"/>
      <c r="PBL48" s="62"/>
      <c r="PBM48" s="47"/>
      <c r="PBN48" s="48"/>
      <c r="PBO48" s="47"/>
      <c r="PBP48" s="62"/>
      <c r="PBQ48" s="47"/>
      <c r="PBR48" s="48"/>
      <c r="PBS48" s="47"/>
      <c r="PBT48" s="62"/>
      <c r="PBU48" s="47"/>
      <c r="PBV48" s="48"/>
      <c r="PBW48" s="47"/>
      <c r="PBX48" s="62"/>
      <c r="PBY48" s="47"/>
      <c r="PBZ48" s="48"/>
      <c r="PCA48" s="47"/>
      <c r="PCB48" s="62"/>
      <c r="PCC48" s="47"/>
      <c r="PCD48" s="48"/>
      <c r="PCE48" s="47"/>
      <c r="PCF48" s="62"/>
      <c r="PCG48" s="47"/>
      <c r="PCH48" s="48"/>
      <c r="PCI48" s="47"/>
      <c r="PCJ48" s="62"/>
      <c r="PCK48" s="47"/>
      <c r="PCL48" s="48"/>
      <c r="PCM48" s="47"/>
      <c r="PCN48" s="62"/>
      <c r="PCO48" s="47"/>
      <c r="PCP48" s="48"/>
      <c r="PCQ48" s="47"/>
      <c r="PCR48" s="62"/>
      <c r="PCS48" s="47"/>
      <c r="PCT48" s="48"/>
      <c r="PCU48" s="47"/>
      <c r="PCV48" s="62"/>
      <c r="PCW48" s="47"/>
      <c r="PCX48" s="48"/>
      <c r="PCY48" s="47"/>
      <c r="PCZ48" s="62"/>
      <c r="PDA48" s="47"/>
      <c r="PDB48" s="48"/>
      <c r="PDC48" s="47"/>
      <c r="PDD48" s="62"/>
      <c r="PDE48" s="47"/>
      <c r="PDF48" s="48"/>
      <c r="PDG48" s="47"/>
      <c r="PDH48" s="62"/>
      <c r="PDI48" s="47"/>
      <c r="PDJ48" s="48"/>
      <c r="PDK48" s="47"/>
      <c r="PDL48" s="62"/>
      <c r="PDM48" s="47"/>
      <c r="PDN48" s="48"/>
      <c r="PDO48" s="47"/>
      <c r="PDP48" s="62"/>
      <c r="PDQ48" s="47"/>
      <c r="PDR48" s="48"/>
      <c r="PDS48" s="47"/>
      <c r="PDT48" s="62"/>
      <c r="PDU48" s="47"/>
      <c r="PDV48" s="48"/>
      <c r="PDW48" s="47"/>
      <c r="PDX48" s="62"/>
      <c r="PDY48" s="47"/>
      <c r="PDZ48" s="48"/>
      <c r="PEA48" s="47"/>
      <c r="PEB48" s="62"/>
      <c r="PEC48" s="47"/>
      <c r="PED48" s="48"/>
      <c r="PEE48" s="47"/>
      <c r="PEF48" s="62"/>
      <c r="PEG48" s="47"/>
      <c r="PEH48" s="48"/>
      <c r="PEI48" s="47"/>
      <c r="PEJ48" s="62"/>
      <c r="PEK48" s="47"/>
      <c r="PEL48" s="48"/>
      <c r="PEM48" s="47"/>
      <c r="PEN48" s="62"/>
      <c r="PEO48" s="47"/>
      <c r="PEP48" s="48"/>
      <c r="PEQ48" s="47"/>
      <c r="PER48" s="62"/>
      <c r="PES48" s="47"/>
      <c r="PET48" s="48"/>
      <c r="PEU48" s="47"/>
      <c r="PEV48" s="62"/>
      <c r="PEW48" s="47"/>
      <c r="PEX48" s="48"/>
      <c r="PEY48" s="47"/>
      <c r="PEZ48" s="62"/>
      <c r="PFA48" s="47"/>
      <c r="PFB48" s="48"/>
      <c r="PFC48" s="47"/>
      <c r="PFD48" s="62"/>
      <c r="PFE48" s="47"/>
      <c r="PFF48" s="48"/>
      <c r="PFG48" s="47"/>
      <c r="PFH48" s="62"/>
      <c r="PFI48" s="47"/>
      <c r="PFJ48" s="48"/>
      <c r="PFK48" s="47"/>
      <c r="PFL48" s="62"/>
      <c r="PFM48" s="47"/>
      <c r="PFN48" s="48"/>
      <c r="PFO48" s="47"/>
      <c r="PFP48" s="62"/>
      <c r="PFQ48" s="47"/>
      <c r="PFR48" s="48"/>
      <c r="PFS48" s="47"/>
      <c r="PFT48" s="62"/>
      <c r="PFU48" s="47"/>
      <c r="PFV48" s="48"/>
      <c r="PFW48" s="47"/>
      <c r="PFX48" s="62"/>
      <c r="PFY48" s="47"/>
      <c r="PFZ48" s="48"/>
      <c r="PGA48" s="47"/>
      <c r="PGB48" s="62"/>
      <c r="PGC48" s="47"/>
      <c r="PGD48" s="48"/>
      <c r="PGE48" s="47"/>
      <c r="PGF48" s="62"/>
      <c r="PGG48" s="47"/>
      <c r="PGH48" s="48"/>
      <c r="PGI48" s="47"/>
      <c r="PGJ48" s="62"/>
      <c r="PGK48" s="47"/>
      <c r="PGL48" s="48"/>
      <c r="PGM48" s="47"/>
      <c r="PGN48" s="62"/>
      <c r="PGO48" s="47"/>
      <c r="PGP48" s="48"/>
      <c r="PGQ48" s="47"/>
      <c r="PGR48" s="62"/>
      <c r="PGS48" s="47"/>
      <c r="PGT48" s="48"/>
      <c r="PGU48" s="47"/>
      <c r="PGV48" s="62"/>
      <c r="PGW48" s="47"/>
      <c r="PGX48" s="48"/>
      <c r="PGY48" s="47"/>
      <c r="PGZ48" s="62"/>
      <c r="PHA48" s="47"/>
      <c r="PHB48" s="48"/>
      <c r="PHC48" s="47"/>
      <c r="PHD48" s="62"/>
      <c r="PHE48" s="47"/>
      <c r="PHF48" s="48"/>
      <c r="PHG48" s="47"/>
      <c r="PHH48" s="62"/>
      <c r="PHI48" s="47"/>
      <c r="PHJ48" s="48"/>
      <c r="PHK48" s="47"/>
      <c r="PHL48" s="62"/>
      <c r="PHM48" s="47"/>
      <c r="PHN48" s="48"/>
      <c r="PHO48" s="47"/>
      <c r="PHP48" s="62"/>
      <c r="PHQ48" s="47"/>
      <c r="PHR48" s="48"/>
      <c r="PHS48" s="47"/>
      <c r="PHT48" s="62"/>
      <c r="PHU48" s="47"/>
      <c r="PHV48" s="48"/>
      <c r="PHW48" s="47"/>
      <c r="PHX48" s="62"/>
      <c r="PHY48" s="47"/>
      <c r="PHZ48" s="48"/>
      <c r="PIA48" s="47"/>
      <c r="PIB48" s="62"/>
      <c r="PIC48" s="47"/>
      <c r="PID48" s="48"/>
      <c r="PIE48" s="47"/>
      <c r="PIF48" s="62"/>
      <c r="PIG48" s="47"/>
      <c r="PIH48" s="48"/>
      <c r="PII48" s="47"/>
      <c r="PIJ48" s="62"/>
      <c r="PIK48" s="47"/>
      <c r="PIL48" s="48"/>
      <c r="PIM48" s="47"/>
      <c r="PIN48" s="62"/>
      <c r="PIO48" s="47"/>
      <c r="PIP48" s="48"/>
      <c r="PIQ48" s="47"/>
      <c r="PIR48" s="62"/>
      <c r="PIS48" s="47"/>
      <c r="PIT48" s="48"/>
      <c r="PIU48" s="47"/>
      <c r="PIV48" s="62"/>
      <c r="PIW48" s="47"/>
      <c r="PIX48" s="48"/>
      <c r="PIY48" s="47"/>
      <c r="PIZ48" s="62"/>
      <c r="PJA48" s="47"/>
      <c r="PJB48" s="48"/>
      <c r="PJC48" s="47"/>
      <c r="PJD48" s="62"/>
      <c r="PJE48" s="47"/>
      <c r="PJF48" s="48"/>
      <c r="PJG48" s="47"/>
      <c r="PJH48" s="62"/>
      <c r="PJI48" s="47"/>
      <c r="PJJ48" s="48"/>
      <c r="PJK48" s="47"/>
      <c r="PJL48" s="62"/>
      <c r="PJM48" s="47"/>
      <c r="PJN48" s="48"/>
      <c r="PJO48" s="47"/>
      <c r="PJP48" s="62"/>
      <c r="PJQ48" s="47"/>
      <c r="PJR48" s="48"/>
      <c r="PJS48" s="47"/>
      <c r="PJT48" s="62"/>
      <c r="PJU48" s="47"/>
      <c r="PJV48" s="48"/>
      <c r="PJW48" s="47"/>
      <c r="PJX48" s="62"/>
      <c r="PJY48" s="47"/>
      <c r="PJZ48" s="48"/>
      <c r="PKA48" s="47"/>
      <c r="PKB48" s="62"/>
      <c r="PKC48" s="47"/>
      <c r="PKD48" s="48"/>
      <c r="PKE48" s="47"/>
      <c r="PKF48" s="62"/>
      <c r="PKG48" s="47"/>
      <c r="PKH48" s="48"/>
      <c r="PKI48" s="47"/>
      <c r="PKJ48" s="62"/>
      <c r="PKK48" s="47"/>
      <c r="PKL48" s="48"/>
      <c r="PKM48" s="47"/>
      <c r="PKN48" s="62"/>
      <c r="PKO48" s="47"/>
      <c r="PKP48" s="48"/>
      <c r="PKQ48" s="47"/>
      <c r="PKR48" s="62"/>
      <c r="PKS48" s="47"/>
      <c r="PKT48" s="48"/>
      <c r="PKU48" s="47"/>
      <c r="PKV48" s="62"/>
      <c r="PKW48" s="47"/>
      <c r="PKX48" s="48"/>
      <c r="PKY48" s="47"/>
      <c r="PKZ48" s="62"/>
      <c r="PLA48" s="47"/>
      <c r="PLB48" s="48"/>
      <c r="PLC48" s="47"/>
      <c r="PLD48" s="62"/>
      <c r="PLE48" s="47"/>
      <c r="PLF48" s="48"/>
      <c r="PLG48" s="47"/>
      <c r="PLH48" s="62"/>
      <c r="PLI48" s="47"/>
      <c r="PLJ48" s="48"/>
      <c r="PLK48" s="47"/>
      <c r="PLL48" s="62"/>
      <c r="PLM48" s="47"/>
      <c r="PLN48" s="48"/>
      <c r="PLO48" s="47"/>
      <c r="PLP48" s="62"/>
      <c r="PLQ48" s="47"/>
      <c r="PLR48" s="48"/>
      <c r="PLS48" s="47"/>
      <c r="PLT48" s="62"/>
      <c r="PLU48" s="47"/>
      <c r="PLV48" s="48"/>
      <c r="PLW48" s="47"/>
      <c r="PLX48" s="62"/>
      <c r="PLY48" s="47"/>
      <c r="PLZ48" s="48"/>
      <c r="PMA48" s="47"/>
      <c r="PMB48" s="62"/>
      <c r="PMC48" s="47"/>
      <c r="PMD48" s="48"/>
      <c r="PME48" s="47"/>
      <c r="PMF48" s="62"/>
      <c r="PMG48" s="47"/>
      <c r="PMH48" s="48"/>
      <c r="PMI48" s="47"/>
      <c r="PMJ48" s="62"/>
      <c r="PMK48" s="47"/>
      <c r="PML48" s="48"/>
      <c r="PMM48" s="47"/>
      <c r="PMN48" s="62"/>
      <c r="PMO48" s="47"/>
      <c r="PMP48" s="48"/>
      <c r="PMQ48" s="47"/>
      <c r="PMR48" s="62"/>
      <c r="PMS48" s="47"/>
      <c r="PMT48" s="48"/>
      <c r="PMU48" s="47"/>
      <c r="PMV48" s="62"/>
      <c r="PMW48" s="47"/>
      <c r="PMX48" s="48"/>
      <c r="PMY48" s="47"/>
      <c r="PMZ48" s="62"/>
      <c r="PNA48" s="47"/>
      <c r="PNB48" s="48"/>
      <c r="PNC48" s="47"/>
      <c r="PND48" s="62"/>
      <c r="PNE48" s="47"/>
      <c r="PNF48" s="48"/>
      <c r="PNG48" s="47"/>
      <c r="PNH48" s="62"/>
      <c r="PNI48" s="47"/>
      <c r="PNJ48" s="48"/>
      <c r="PNK48" s="47"/>
      <c r="PNL48" s="62"/>
      <c r="PNM48" s="47"/>
      <c r="PNN48" s="48"/>
      <c r="PNO48" s="47"/>
      <c r="PNP48" s="62"/>
      <c r="PNQ48" s="47"/>
      <c r="PNR48" s="48"/>
      <c r="PNS48" s="47"/>
      <c r="PNT48" s="62"/>
      <c r="PNU48" s="47"/>
      <c r="PNV48" s="48"/>
      <c r="PNW48" s="47"/>
      <c r="PNX48" s="62"/>
      <c r="PNY48" s="47"/>
      <c r="PNZ48" s="48"/>
      <c r="POA48" s="47"/>
      <c r="POB48" s="62"/>
      <c r="POC48" s="47"/>
      <c r="POD48" s="48"/>
      <c r="POE48" s="47"/>
      <c r="POF48" s="62"/>
      <c r="POG48" s="47"/>
      <c r="POH48" s="48"/>
      <c r="POI48" s="47"/>
      <c r="POJ48" s="62"/>
      <c r="POK48" s="47"/>
      <c r="POL48" s="48"/>
      <c r="POM48" s="47"/>
      <c r="PON48" s="62"/>
      <c r="POO48" s="47"/>
      <c r="POP48" s="48"/>
      <c r="POQ48" s="47"/>
      <c r="POR48" s="62"/>
      <c r="POS48" s="47"/>
      <c r="POT48" s="48"/>
      <c r="POU48" s="47"/>
      <c r="POV48" s="62"/>
      <c r="POW48" s="47"/>
      <c r="POX48" s="48"/>
      <c r="POY48" s="47"/>
      <c r="POZ48" s="62"/>
      <c r="PPA48" s="47"/>
      <c r="PPB48" s="48"/>
      <c r="PPC48" s="47"/>
      <c r="PPD48" s="62"/>
      <c r="PPE48" s="47"/>
      <c r="PPF48" s="48"/>
      <c r="PPG48" s="47"/>
      <c r="PPH48" s="62"/>
      <c r="PPI48" s="47"/>
      <c r="PPJ48" s="48"/>
      <c r="PPK48" s="47"/>
      <c r="PPL48" s="62"/>
      <c r="PPM48" s="47"/>
      <c r="PPN48" s="48"/>
      <c r="PPO48" s="47"/>
      <c r="PPP48" s="62"/>
      <c r="PPQ48" s="47"/>
      <c r="PPR48" s="48"/>
      <c r="PPS48" s="47"/>
      <c r="PPT48" s="62"/>
      <c r="PPU48" s="47"/>
      <c r="PPV48" s="48"/>
      <c r="PPW48" s="47"/>
      <c r="PPX48" s="62"/>
      <c r="PPY48" s="47"/>
      <c r="PPZ48" s="48"/>
      <c r="PQA48" s="47"/>
      <c r="PQB48" s="62"/>
      <c r="PQC48" s="47"/>
      <c r="PQD48" s="48"/>
      <c r="PQE48" s="47"/>
      <c r="PQF48" s="62"/>
      <c r="PQG48" s="47"/>
      <c r="PQH48" s="48"/>
      <c r="PQI48" s="47"/>
      <c r="PQJ48" s="62"/>
      <c r="PQK48" s="47"/>
      <c r="PQL48" s="48"/>
      <c r="PQM48" s="47"/>
      <c r="PQN48" s="62"/>
      <c r="PQO48" s="47"/>
      <c r="PQP48" s="48"/>
      <c r="PQQ48" s="47"/>
      <c r="PQR48" s="62"/>
      <c r="PQS48" s="47"/>
      <c r="PQT48" s="48"/>
      <c r="PQU48" s="47"/>
      <c r="PQV48" s="62"/>
      <c r="PQW48" s="47"/>
      <c r="PQX48" s="48"/>
      <c r="PQY48" s="47"/>
      <c r="PQZ48" s="62"/>
      <c r="PRA48" s="47"/>
      <c r="PRB48" s="48"/>
      <c r="PRC48" s="47"/>
      <c r="PRD48" s="62"/>
      <c r="PRE48" s="47"/>
      <c r="PRF48" s="48"/>
      <c r="PRG48" s="47"/>
      <c r="PRH48" s="62"/>
      <c r="PRI48" s="47"/>
      <c r="PRJ48" s="48"/>
      <c r="PRK48" s="47"/>
      <c r="PRL48" s="62"/>
      <c r="PRM48" s="47"/>
      <c r="PRN48" s="48"/>
      <c r="PRO48" s="47"/>
      <c r="PRP48" s="62"/>
      <c r="PRQ48" s="47"/>
      <c r="PRR48" s="48"/>
      <c r="PRS48" s="47"/>
      <c r="PRT48" s="62"/>
      <c r="PRU48" s="47"/>
      <c r="PRV48" s="48"/>
      <c r="PRW48" s="47"/>
      <c r="PRX48" s="62"/>
      <c r="PRY48" s="47"/>
      <c r="PRZ48" s="48"/>
      <c r="PSA48" s="47"/>
      <c r="PSB48" s="62"/>
      <c r="PSC48" s="47"/>
      <c r="PSD48" s="48"/>
      <c r="PSE48" s="47"/>
      <c r="PSF48" s="62"/>
      <c r="PSG48" s="47"/>
      <c r="PSH48" s="48"/>
      <c r="PSI48" s="47"/>
      <c r="PSJ48" s="62"/>
      <c r="PSK48" s="47"/>
      <c r="PSL48" s="48"/>
      <c r="PSM48" s="47"/>
      <c r="PSN48" s="62"/>
      <c r="PSO48" s="47"/>
      <c r="PSP48" s="48"/>
      <c r="PSQ48" s="47"/>
      <c r="PSR48" s="62"/>
      <c r="PSS48" s="47"/>
      <c r="PST48" s="48"/>
      <c r="PSU48" s="47"/>
      <c r="PSV48" s="62"/>
      <c r="PSW48" s="47"/>
      <c r="PSX48" s="48"/>
      <c r="PSY48" s="47"/>
      <c r="PSZ48" s="62"/>
      <c r="PTA48" s="47"/>
      <c r="PTB48" s="48"/>
      <c r="PTC48" s="47"/>
      <c r="PTD48" s="62"/>
      <c r="PTE48" s="47"/>
      <c r="PTF48" s="48"/>
      <c r="PTG48" s="47"/>
      <c r="PTH48" s="62"/>
      <c r="PTI48" s="47"/>
      <c r="PTJ48" s="48"/>
      <c r="PTK48" s="47"/>
      <c r="PTL48" s="62"/>
      <c r="PTM48" s="47"/>
      <c r="PTN48" s="48"/>
      <c r="PTO48" s="47"/>
      <c r="PTP48" s="62"/>
      <c r="PTQ48" s="47"/>
      <c r="PTR48" s="48"/>
      <c r="PTS48" s="47"/>
      <c r="PTT48" s="62"/>
      <c r="PTU48" s="47"/>
      <c r="PTV48" s="48"/>
      <c r="PTW48" s="47"/>
      <c r="PTX48" s="62"/>
      <c r="PTY48" s="47"/>
      <c r="PTZ48" s="48"/>
      <c r="PUA48" s="47"/>
      <c r="PUB48" s="62"/>
      <c r="PUC48" s="47"/>
      <c r="PUD48" s="48"/>
      <c r="PUE48" s="47"/>
      <c r="PUF48" s="62"/>
      <c r="PUG48" s="47"/>
      <c r="PUH48" s="48"/>
      <c r="PUI48" s="47"/>
      <c r="PUJ48" s="62"/>
      <c r="PUK48" s="47"/>
      <c r="PUL48" s="48"/>
      <c r="PUM48" s="47"/>
      <c r="PUN48" s="62"/>
      <c r="PUO48" s="47"/>
      <c r="PUP48" s="48"/>
      <c r="PUQ48" s="47"/>
      <c r="PUR48" s="62"/>
      <c r="PUS48" s="47"/>
      <c r="PUT48" s="48"/>
      <c r="PUU48" s="47"/>
      <c r="PUV48" s="62"/>
      <c r="PUW48" s="47"/>
      <c r="PUX48" s="48"/>
      <c r="PUY48" s="47"/>
      <c r="PUZ48" s="62"/>
      <c r="PVA48" s="47"/>
      <c r="PVB48" s="48"/>
      <c r="PVC48" s="47"/>
      <c r="PVD48" s="62"/>
      <c r="PVE48" s="47"/>
      <c r="PVF48" s="48"/>
      <c r="PVG48" s="47"/>
      <c r="PVH48" s="62"/>
      <c r="PVI48" s="47"/>
      <c r="PVJ48" s="48"/>
      <c r="PVK48" s="47"/>
      <c r="PVL48" s="62"/>
      <c r="PVM48" s="47"/>
      <c r="PVN48" s="48"/>
      <c r="PVO48" s="47"/>
      <c r="PVP48" s="62"/>
      <c r="PVQ48" s="47"/>
      <c r="PVR48" s="48"/>
      <c r="PVS48" s="47"/>
      <c r="PVT48" s="62"/>
      <c r="PVU48" s="47"/>
      <c r="PVV48" s="48"/>
      <c r="PVW48" s="47"/>
      <c r="PVX48" s="62"/>
      <c r="PVY48" s="47"/>
      <c r="PVZ48" s="48"/>
      <c r="PWA48" s="47"/>
      <c r="PWB48" s="62"/>
      <c r="PWC48" s="47"/>
      <c r="PWD48" s="48"/>
      <c r="PWE48" s="47"/>
      <c r="PWF48" s="62"/>
      <c r="PWG48" s="47"/>
      <c r="PWH48" s="48"/>
      <c r="PWI48" s="47"/>
      <c r="PWJ48" s="62"/>
      <c r="PWK48" s="47"/>
      <c r="PWL48" s="48"/>
      <c r="PWM48" s="47"/>
      <c r="PWN48" s="62"/>
      <c r="PWO48" s="47"/>
      <c r="PWP48" s="48"/>
      <c r="PWQ48" s="47"/>
      <c r="PWR48" s="62"/>
      <c r="PWS48" s="47"/>
      <c r="PWT48" s="48"/>
      <c r="PWU48" s="47"/>
      <c r="PWV48" s="62"/>
      <c r="PWW48" s="47"/>
      <c r="PWX48" s="48"/>
      <c r="PWY48" s="47"/>
      <c r="PWZ48" s="62"/>
      <c r="PXA48" s="47"/>
      <c r="PXB48" s="48"/>
      <c r="PXC48" s="47"/>
      <c r="PXD48" s="62"/>
      <c r="PXE48" s="47"/>
      <c r="PXF48" s="48"/>
      <c r="PXG48" s="47"/>
      <c r="PXH48" s="62"/>
      <c r="PXI48" s="47"/>
      <c r="PXJ48" s="48"/>
      <c r="PXK48" s="47"/>
      <c r="PXL48" s="62"/>
      <c r="PXM48" s="47"/>
      <c r="PXN48" s="48"/>
      <c r="PXO48" s="47"/>
      <c r="PXP48" s="62"/>
      <c r="PXQ48" s="47"/>
      <c r="PXR48" s="48"/>
      <c r="PXS48" s="47"/>
      <c r="PXT48" s="62"/>
      <c r="PXU48" s="47"/>
      <c r="PXV48" s="48"/>
      <c r="PXW48" s="47"/>
      <c r="PXX48" s="62"/>
      <c r="PXY48" s="47"/>
      <c r="PXZ48" s="48"/>
      <c r="PYA48" s="47"/>
      <c r="PYB48" s="62"/>
      <c r="PYC48" s="47"/>
      <c r="PYD48" s="48"/>
      <c r="PYE48" s="47"/>
      <c r="PYF48" s="62"/>
      <c r="PYG48" s="47"/>
      <c r="PYH48" s="48"/>
      <c r="PYI48" s="47"/>
      <c r="PYJ48" s="62"/>
      <c r="PYK48" s="47"/>
      <c r="PYL48" s="48"/>
      <c r="PYM48" s="47"/>
      <c r="PYN48" s="62"/>
      <c r="PYO48" s="47"/>
      <c r="PYP48" s="48"/>
      <c r="PYQ48" s="47"/>
      <c r="PYR48" s="62"/>
      <c r="PYS48" s="47"/>
      <c r="PYT48" s="48"/>
      <c r="PYU48" s="47"/>
      <c r="PYV48" s="62"/>
      <c r="PYW48" s="47"/>
      <c r="PYX48" s="48"/>
      <c r="PYY48" s="47"/>
      <c r="PYZ48" s="62"/>
      <c r="PZA48" s="47"/>
      <c r="PZB48" s="48"/>
      <c r="PZC48" s="47"/>
      <c r="PZD48" s="62"/>
      <c r="PZE48" s="47"/>
      <c r="PZF48" s="48"/>
      <c r="PZG48" s="47"/>
      <c r="PZH48" s="62"/>
      <c r="PZI48" s="47"/>
      <c r="PZJ48" s="48"/>
      <c r="PZK48" s="47"/>
      <c r="PZL48" s="62"/>
      <c r="PZM48" s="47"/>
      <c r="PZN48" s="48"/>
      <c r="PZO48" s="47"/>
      <c r="PZP48" s="62"/>
      <c r="PZQ48" s="47"/>
      <c r="PZR48" s="48"/>
      <c r="PZS48" s="47"/>
      <c r="PZT48" s="62"/>
      <c r="PZU48" s="47"/>
      <c r="PZV48" s="48"/>
      <c r="PZW48" s="47"/>
      <c r="PZX48" s="62"/>
      <c r="PZY48" s="47"/>
      <c r="PZZ48" s="48"/>
      <c r="QAA48" s="47"/>
      <c r="QAB48" s="62"/>
      <c r="QAC48" s="47"/>
      <c r="QAD48" s="48"/>
      <c r="QAE48" s="47"/>
      <c r="QAF48" s="62"/>
      <c r="QAG48" s="47"/>
      <c r="QAH48" s="48"/>
      <c r="QAI48" s="47"/>
      <c r="QAJ48" s="62"/>
      <c r="QAK48" s="47"/>
      <c r="QAL48" s="48"/>
      <c r="QAM48" s="47"/>
      <c r="QAN48" s="62"/>
      <c r="QAO48" s="47"/>
      <c r="QAP48" s="48"/>
      <c r="QAQ48" s="47"/>
      <c r="QAR48" s="62"/>
      <c r="QAS48" s="47"/>
      <c r="QAT48" s="48"/>
      <c r="QAU48" s="47"/>
      <c r="QAV48" s="62"/>
      <c r="QAW48" s="47"/>
      <c r="QAX48" s="48"/>
      <c r="QAY48" s="47"/>
      <c r="QAZ48" s="62"/>
      <c r="QBA48" s="47"/>
      <c r="QBB48" s="48"/>
      <c r="QBC48" s="47"/>
      <c r="QBD48" s="62"/>
      <c r="QBE48" s="47"/>
      <c r="QBF48" s="48"/>
      <c r="QBG48" s="47"/>
      <c r="QBH48" s="62"/>
      <c r="QBI48" s="47"/>
      <c r="QBJ48" s="48"/>
      <c r="QBK48" s="47"/>
      <c r="QBL48" s="62"/>
      <c r="QBM48" s="47"/>
      <c r="QBN48" s="48"/>
      <c r="QBO48" s="47"/>
      <c r="QBP48" s="62"/>
      <c r="QBQ48" s="47"/>
      <c r="QBR48" s="48"/>
      <c r="QBS48" s="47"/>
      <c r="QBT48" s="62"/>
      <c r="QBU48" s="47"/>
      <c r="QBV48" s="48"/>
      <c r="QBW48" s="47"/>
      <c r="QBX48" s="62"/>
      <c r="QBY48" s="47"/>
      <c r="QBZ48" s="48"/>
      <c r="QCA48" s="47"/>
      <c r="QCB48" s="62"/>
      <c r="QCC48" s="47"/>
      <c r="QCD48" s="48"/>
      <c r="QCE48" s="47"/>
      <c r="QCF48" s="62"/>
      <c r="QCG48" s="47"/>
      <c r="QCH48" s="48"/>
      <c r="QCI48" s="47"/>
      <c r="QCJ48" s="62"/>
      <c r="QCK48" s="47"/>
      <c r="QCL48" s="48"/>
      <c r="QCM48" s="47"/>
      <c r="QCN48" s="62"/>
      <c r="QCO48" s="47"/>
      <c r="QCP48" s="48"/>
      <c r="QCQ48" s="47"/>
      <c r="QCR48" s="62"/>
      <c r="QCS48" s="47"/>
      <c r="QCT48" s="48"/>
      <c r="QCU48" s="47"/>
      <c r="QCV48" s="62"/>
      <c r="QCW48" s="47"/>
      <c r="QCX48" s="48"/>
      <c r="QCY48" s="47"/>
      <c r="QCZ48" s="62"/>
      <c r="QDA48" s="47"/>
      <c r="QDB48" s="48"/>
      <c r="QDC48" s="47"/>
      <c r="QDD48" s="62"/>
      <c r="QDE48" s="47"/>
      <c r="QDF48" s="48"/>
      <c r="QDG48" s="47"/>
      <c r="QDH48" s="62"/>
      <c r="QDI48" s="47"/>
      <c r="QDJ48" s="48"/>
      <c r="QDK48" s="47"/>
      <c r="QDL48" s="62"/>
      <c r="QDM48" s="47"/>
      <c r="QDN48" s="48"/>
      <c r="QDO48" s="47"/>
      <c r="QDP48" s="62"/>
      <c r="QDQ48" s="47"/>
      <c r="QDR48" s="48"/>
      <c r="QDS48" s="47"/>
      <c r="QDT48" s="62"/>
      <c r="QDU48" s="47"/>
      <c r="QDV48" s="48"/>
      <c r="QDW48" s="47"/>
      <c r="QDX48" s="62"/>
      <c r="QDY48" s="47"/>
      <c r="QDZ48" s="48"/>
      <c r="QEA48" s="47"/>
      <c r="QEB48" s="62"/>
      <c r="QEC48" s="47"/>
      <c r="QED48" s="48"/>
      <c r="QEE48" s="47"/>
      <c r="QEF48" s="62"/>
      <c r="QEG48" s="47"/>
      <c r="QEH48" s="48"/>
      <c r="QEI48" s="47"/>
      <c r="QEJ48" s="62"/>
      <c r="QEK48" s="47"/>
      <c r="QEL48" s="48"/>
      <c r="QEM48" s="47"/>
      <c r="QEN48" s="62"/>
      <c r="QEO48" s="47"/>
      <c r="QEP48" s="48"/>
      <c r="QEQ48" s="47"/>
      <c r="QER48" s="62"/>
      <c r="QES48" s="47"/>
      <c r="QET48" s="48"/>
      <c r="QEU48" s="47"/>
      <c r="QEV48" s="62"/>
      <c r="QEW48" s="47"/>
      <c r="QEX48" s="48"/>
      <c r="QEY48" s="47"/>
      <c r="QEZ48" s="62"/>
      <c r="QFA48" s="47"/>
      <c r="QFB48" s="48"/>
      <c r="QFC48" s="47"/>
      <c r="QFD48" s="62"/>
      <c r="QFE48" s="47"/>
      <c r="QFF48" s="48"/>
      <c r="QFG48" s="47"/>
      <c r="QFH48" s="62"/>
      <c r="QFI48" s="47"/>
      <c r="QFJ48" s="48"/>
      <c r="QFK48" s="47"/>
      <c r="QFL48" s="62"/>
      <c r="QFM48" s="47"/>
      <c r="QFN48" s="48"/>
      <c r="QFO48" s="47"/>
      <c r="QFP48" s="62"/>
      <c r="QFQ48" s="47"/>
      <c r="QFR48" s="48"/>
      <c r="QFS48" s="47"/>
      <c r="QFT48" s="62"/>
      <c r="QFU48" s="47"/>
      <c r="QFV48" s="48"/>
      <c r="QFW48" s="47"/>
      <c r="QFX48" s="62"/>
      <c r="QFY48" s="47"/>
      <c r="QFZ48" s="48"/>
      <c r="QGA48" s="47"/>
      <c r="QGB48" s="62"/>
      <c r="QGC48" s="47"/>
      <c r="QGD48" s="48"/>
      <c r="QGE48" s="47"/>
      <c r="QGF48" s="62"/>
      <c r="QGG48" s="47"/>
      <c r="QGH48" s="48"/>
      <c r="QGI48" s="47"/>
      <c r="QGJ48" s="62"/>
      <c r="QGK48" s="47"/>
      <c r="QGL48" s="48"/>
      <c r="QGM48" s="47"/>
      <c r="QGN48" s="62"/>
      <c r="QGO48" s="47"/>
      <c r="QGP48" s="48"/>
      <c r="QGQ48" s="47"/>
      <c r="QGR48" s="62"/>
      <c r="QGS48" s="47"/>
      <c r="QGT48" s="48"/>
      <c r="QGU48" s="47"/>
      <c r="QGV48" s="62"/>
      <c r="QGW48" s="47"/>
      <c r="QGX48" s="48"/>
      <c r="QGY48" s="47"/>
      <c r="QGZ48" s="62"/>
      <c r="QHA48" s="47"/>
      <c r="QHB48" s="48"/>
      <c r="QHC48" s="47"/>
      <c r="QHD48" s="62"/>
      <c r="QHE48" s="47"/>
      <c r="QHF48" s="48"/>
      <c r="QHG48" s="47"/>
      <c r="QHH48" s="62"/>
      <c r="QHI48" s="47"/>
      <c r="QHJ48" s="48"/>
      <c r="QHK48" s="47"/>
      <c r="QHL48" s="62"/>
      <c r="QHM48" s="47"/>
      <c r="QHN48" s="48"/>
      <c r="QHO48" s="47"/>
      <c r="QHP48" s="62"/>
      <c r="QHQ48" s="47"/>
      <c r="QHR48" s="48"/>
      <c r="QHS48" s="47"/>
      <c r="QHT48" s="62"/>
      <c r="QHU48" s="47"/>
      <c r="QHV48" s="48"/>
      <c r="QHW48" s="47"/>
      <c r="QHX48" s="62"/>
      <c r="QHY48" s="47"/>
      <c r="QHZ48" s="48"/>
      <c r="QIA48" s="47"/>
      <c r="QIB48" s="62"/>
      <c r="QIC48" s="47"/>
      <c r="QID48" s="48"/>
      <c r="QIE48" s="47"/>
      <c r="QIF48" s="62"/>
      <c r="QIG48" s="47"/>
      <c r="QIH48" s="48"/>
      <c r="QII48" s="47"/>
      <c r="QIJ48" s="62"/>
      <c r="QIK48" s="47"/>
      <c r="QIL48" s="48"/>
      <c r="QIM48" s="47"/>
      <c r="QIN48" s="62"/>
      <c r="QIO48" s="47"/>
      <c r="QIP48" s="48"/>
      <c r="QIQ48" s="47"/>
      <c r="QIR48" s="62"/>
      <c r="QIS48" s="47"/>
      <c r="QIT48" s="48"/>
      <c r="QIU48" s="47"/>
      <c r="QIV48" s="62"/>
      <c r="QIW48" s="47"/>
      <c r="QIX48" s="48"/>
      <c r="QIY48" s="47"/>
      <c r="QIZ48" s="62"/>
      <c r="QJA48" s="47"/>
      <c r="QJB48" s="48"/>
      <c r="QJC48" s="47"/>
      <c r="QJD48" s="62"/>
      <c r="QJE48" s="47"/>
      <c r="QJF48" s="48"/>
      <c r="QJG48" s="47"/>
      <c r="QJH48" s="62"/>
      <c r="QJI48" s="47"/>
      <c r="QJJ48" s="48"/>
      <c r="QJK48" s="47"/>
      <c r="QJL48" s="62"/>
      <c r="QJM48" s="47"/>
      <c r="QJN48" s="48"/>
      <c r="QJO48" s="47"/>
      <c r="QJP48" s="62"/>
      <c r="QJQ48" s="47"/>
      <c r="QJR48" s="48"/>
      <c r="QJS48" s="47"/>
      <c r="QJT48" s="62"/>
      <c r="QJU48" s="47"/>
      <c r="QJV48" s="48"/>
      <c r="QJW48" s="47"/>
      <c r="QJX48" s="62"/>
      <c r="QJY48" s="47"/>
      <c r="QJZ48" s="48"/>
      <c r="QKA48" s="47"/>
      <c r="QKB48" s="62"/>
      <c r="QKC48" s="47"/>
      <c r="QKD48" s="48"/>
      <c r="QKE48" s="47"/>
      <c r="QKF48" s="62"/>
      <c r="QKG48" s="47"/>
      <c r="QKH48" s="48"/>
      <c r="QKI48" s="47"/>
      <c r="QKJ48" s="62"/>
      <c r="QKK48" s="47"/>
      <c r="QKL48" s="48"/>
      <c r="QKM48" s="47"/>
      <c r="QKN48" s="62"/>
      <c r="QKO48" s="47"/>
      <c r="QKP48" s="48"/>
      <c r="QKQ48" s="47"/>
      <c r="QKR48" s="62"/>
      <c r="QKS48" s="47"/>
      <c r="QKT48" s="48"/>
      <c r="QKU48" s="47"/>
      <c r="QKV48" s="62"/>
      <c r="QKW48" s="47"/>
      <c r="QKX48" s="48"/>
      <c r="QKY48" s="47"/>
      <c r="QKZ48" s="62"/>
      <c r="QLA48" s="47"/>
      <c r="QLB48" s="48"/>
      <c r="QLC48" s="47"/>
      <c r="QLD48" s="62"/>
      <c r="QLE48" s="47"/>
      <c r="QLF48" s="48"/>
      <c r="QLG48" s="47"/>
      <c r="QLH48" s="62"/>
      <c r="QLI48" s="47"/>
      <c r="QLJ48" s="48"/>
      <c r="QLK48" s="47"/>
      <c r="QLL48" s="62"/>
      <c r="QLM48" s="47"/>
      <c r="QLN48" s="48"/>
      <c r="QLO48" s="47"/>
      <c r="QLP48" s="62"/>
      <c r="QLQ48" s="47"/>
      <c r="QLR48" s="48"/>
      <c r="QLS48" s="47"/>
      <c r="QLT48" s="62"/>
      <c r="QLU48" s="47"/>
      <c r="QLV48" s="48"/>
      <c r="QLW48" s="47"/>
      <c r="QLX48" s="62"/>
      <c r="QLY48" s="47"/>
      <c r="QLZ48" s="48"/>
      <c r="QMA48" s="47"/>
      <c r="QMB48" s="62"/>
      <c r="QMC48" s="47"/>
      <c r="QMD48" s="48"/>
      <c r="QME48" s="47"/>
      <c r="QMF48" s="62"/>
      <c r="QMG48" s="47"/>
      <c r="QMH48" s="48"/>
      <c r="QMI48" s="47"/>
      <c r="QMJ48" s="62"/>
      <c r="QMK48" s="47"/>
      <c r="QML48" s="48"/>
      <c r="QMM48" s="47"/>
      <c r="QMN48" s="62"/>
      <c r="QMO48" s="47"/>
      <c r="QMP48" s="48"/>
      <c r="QMQ48" s="47"/>
      <c r="QMR48" s="62"/>
      <c r="QMS48" s="47"/>
      <c r="QMT48" s="48"/>
      <c r="QMU48" s="47"/>
      <c r="QMV48" s="62"/>
      <c r="QMW48" s="47"/>
      <c r="QMX48" s="48"/>
      <c r="QMY48" s="47"/>
      <c r="QMZ48" s="62"/>
      <c r="QNA48" s="47"/>
      <c r="QNB48" s="48"/>
      <c r="QNC48" s="47"/>
      <c r="QND48" s="62"/>
      <c r="QNE48" s="47"/>
      <c r="QNF48" s="48"/>
      <c r="QNG48" s="47"/>
      <c r="QNH48" s="62"/>
      <c r="QNI48" s="47"/>
      <c r="QNJ48" s="48"/>
      <c r="QNK48" s="47"/>
      <c r="QNL48" s="62"/>
      <c r="QNM48" s="47"/>
      <c r="QNN48" s="48"/>
      <c r="QNO48" s="47"/>
      <c r="QNP48" s="62"/>
      <c r="QNQ48" s="47"/>
      <c r="QNR48" s="48"/>
      <c r="QNS48" s="47"/>
      <c r="QNT48" s="62"/>
      <c r="QNU48" s="47"/>
      <c r="QNV48" s="48"/>
      <c r="QNW48" s="47"/>
      <c r="QNX48" s="62"/>
      <c r="QNY48" s="47"/>
      <c r="QNZ48" s="48"/>
      <c r="QOA48" s="47"/>
      <c r="QOB48" s="62"/>
      <c r="QOC48" s="47"/>
      <c r="QOD48" s="48"/>
      <c r="QOE48" s="47"/>
      <c r="QOF48" s="62"/>
      <c r="QOG48" s="47"/>
      <c r="QOH48" s="48"/>
      <c r="QOI48" s="47"/>
      <c r="QOJ48" s="62"/>
      <c r="QOK48" s="47"/>
      <c r="QOL48" s="48"/>
      <c r="QOM48" s="47"/>
      <c r="QON48" s="62"/>
      <c r="QOO48" s="47"/>
      <c r="QOP48" s="48"/>
      <c r="QOQ48" s="47"/>
      <c r="QOR48" s="62"/>
      <c r="QOS48" s="47"/>
      <c r="QOT48" s="48"/>
      <c r="QOU48" s="47"/>
      <c r="QOV48" s="62"/>
      <c r="QOW48" s="47"/>
      <c r="QOX48" s="48"/>
      <c r="QOY48" s="47"/>
      <c r="QOZ48" s="62"/>
      <c r="QPA48" s="47"/>
      <c r="QPB48" s="48"/>
      <c r="QPC48" s="47"/>
      <c r="QPD48" s="62"/>
      <c r="QPE48" s="47"/>
      <c r="QPF48" s="48"/>
      <c r="QPG48" s="47"/>
      <c r="QPH48" s="62"/>
      <c r="QPI48" s="47"/>
      <c r="QPJ48" s="48"/>
      <c r="QPK48" s="47"/>
      <c r="QPL48" s="62"/>
      <c r="QPM48" s="47"/>
      <c r="QPN48" s="48"/>
      <c r="QPO48" s="47"/>
      <c r="QPP48" s="62"/>
      <c r="QPQ48" s="47"/>
      <c r="QPR48" s="48"/>
      <c r="QPS48" s="47"/>
      <c r="QPT48" s="62"/>
      <c r="QPU48" s="47"/>
      <c r="QPV48" s="48"/>
      <c r="QPW48" s="47"/>
      <c r="QPX48" s="62"/>
      <c r="QPY48" s="47"/>
      <c r="QPZ48" s="48"/>
      <c r="QQA48" s="47"/>
      <c r="QQB48" s="62"/>
      <c r="QQC48" s="47"/>
      <c r="QQD48" s="48"/>
      <c r="QQE48" s="47"/>
      <c r="QQF48" s="62"/>
      <c r="QQG48" s="47"/>
      <c r="QQH48" s="48"/>
      <c r="QQI48" s="47"/>
      <c r="QQJ48" s="62"/>
      <c r="QQK48" s="47"/>
      <c r="QQL48" s="48"/>
      <c r="QQM48" s="47"/>
      <c r="QQN48" s="62"/>
      <c r="QQO48" s="47"/>
      <c r="QQP48" s="48"/>
      <c r="QQQ48" s="47"/>
      <c r="QQR48" s="62"/>
      <c r="QQS48" s="47"/>
      <c r="QQT48" s="48"/>
      <c r="QQU48" s="47"/>
      <c r="QQV48" s="62"/>
      <c r="QQW48" s="47"/>
      <c r="QQX48" s="48"/>
      <c r="QQY48" s="47"/>
      <c r="QQZ48" s="62"/>
      <c r="QRA48" s="47"/>
      <c r="QRB48" s="48"/>
      <c r="QRC48" s="47"/>
      <c r="QRD48" s="62"/>
      <c r="QRE48" s="47"/>
      <c r="QRF48" s="48"/>
      <c r="QRG48" s="47"/>
      <c r="QRH48" s="62"/>
      <c r="QRI48" s="47"/>
      <c r="QRJ48" s="48"/>
      <c r="QRK48" s="47"/>
      <c r="QRL48" s="62"/>
      <c r="QRM48" s="47"/>
      <c r="QRN48" s="48"/>
      <c r="QRO48" s="47"/>
      <c r="QRP48" s="62"/>
      <c r="QRQ48" s="47"/>
      <c r="QRR48" s="48"/>
      <c r="QRS48" s="47"/>
      <c r="QRT48" s="62"/>
      <c r="QRU48" s="47"/>
      <c r="QRV48" s="48"/>
      <c r="QRW48" s="47"/>
      <c r="QRX48" s="62"/>
      <c r="QRY48" s="47"/>
      <c r="QRZ48" s="48"/>
      <c r="QSA48" s="47"/>
      <c r="QSB48" s="62"/>
      <c r="QSC48" s="47"/>
      <c r="QSD48" s="48"/>
      <c r="QSE48" s="47"/>
      <c r="QSF48" s="62"/>
      <c r="QSG48" s="47"/>
      <c r="QSH48" s="48"/>
      <c r="QSI48" s="47"/>
      <c r="QSJ48" s="62"/>
      <c r="QSK48" s="47"/>
      <c r="QSL48" s="48"/>
      <c r="QSM48" s="47"/>
      <c r="QSN48" s="62"/>
      <c r="QSO48" s="47"/>
      <c r="QSP48" s="48"/>
      <c r="QSQ48" s="47"/>
      <c r="QSR48" s="62"/>
      <c r="QSS48" s="47"/>
      <c r="QST48" s="48"/>
      <c r="QSU48" s="47"/>
      <c r="QSV48" s="62"/>
      <c r="QSW48" s="47"/>
      <c r="QSX48" s="48"/>
      <c r="QSY48" s="47"/>
      <c r="QSZ48" s="62"/>
      <c r="QTA48" s="47"/>
      <c r="QTB48" s="48"/>
      <c r="QTC48" s="47"/>
      <c r="QTD48" s="62"/>
      <c r="QTE48" s="47"/>
      <c r="QTF48" s="48"/>
      <c r="QTG48" s="47"/>
      <c r="QTH48" s="62"/>
      <c r="QTI48" s="47"/>
      <c r="QTJ48" s="48"/>
      <c r="QTK48" s="47"/>
      <c r="QTL48" s="62"/>
      <c r="QTM48" s="47"/>
      <c r="QTN48" s="48"/>
      <c r="QTO48" s="47"/>
      <c r="QTP48" s="62"/>
      <c r="QTQ48" s="47"/>
      <c r="QTR48" s="48"/>
      <c r="QTS48" s="47"/>
      <c r="QTT48" s="62"/>
      <c r="QTU48" s="47"/>
      <c r="QTV48" s="48"/>
      <c r="QTW48" s="47"/>
      <c r="QTX48" s="62"/>
      <c r="QTY48" s="47"/>
      <c r="QTZ48" s="48"/>
      <c r="QUA48" s="47"/>
      <c r="QUB48" s="62"/>
      <c r="QUC48" s="47"/>
      <c r="QUD48" s="48"/>
      <c r="QUE48" s="47"/>
      <c r="QUF48" s="62"/>
      <c r="QUG48" s="47"/>
      <c r="QUH48" s="48"/>
      <c r="QUI48" s="47"/>
      <c r="QUJ48" s="62"/>
      <c r="QUK48" s="47"/>
      <c r="QUL48" s="48"/>
      <c r="QUM48" s="47"/>
      <c r="QUN48" s="62"/>
      <c r="QUO48" s="47"/>
      <c r="QUP48" s="48"/>
      <c r="QUQ48" s="47"/>
      <c r="QUR48" s="62"/>
      <c r="QUS48" s="47"/>
      <c r="QUT48" s="48"/>
      <c r="QUU48" s="47"/>
      <c r="QUV48" s="62"/>
      <c r="QUW48" s="47"/>
      <c r="QUX48" s="48"/>
      <c r="QUY48" s="47"/>
      <c r="QUZ48" s="62"/>
      <c r="QVA48" s="47"/>
      <c r="QVB48" s="48"/>
      <c r="QVC48" s="47"/>
      <c r="QVD48" s="62"/>
      <c r="QVE48" s="47"/>
      <c r="QVF48" s="48"/>
      <c r="QVG48" s="47"/>
      <c r="QVH48" s="62"/>
      <c r="QVI48" s="47"/>
      <c r="QVJ48" s="48"/>
      <c r="QVK48" s="47"/>
      <c r="QVL48" s="62"/>
      <c r="QVM48" s="47"/>
      <c r="QVN48" s="48"/>
      <c r="QVO48" s="47"/>
      <c r="QVP48" s="62"/>
      <c r="QVQ48" s="47"/>
      <c r="QVR48" s="48"/>
      <c r="QVS48" s="47"/>
      <c r="QVT48" s="62"/>
      <c r="QVU48" s="47"/>
      <c r="QVV48" s="48"/>
      <c r="QVW48" s="47"/>
      <c r="QVX48" s="62"/>
      <c r="QVY48" s="47"/>
      <c r="QVZ48" s="48"/>
      <c r="QWA48" s="47"/>
      <c r="QWB48" s="62"/>
      <c r="QWC48" s="47"/>
      <c r="QWD48" s="48"/>
      <c r="QWE48" s="47"/>
      <c r="QWF48" s="62"/>
      <c r="QWG48" s="47"/>
      <c r="QWH48" s="48"/>
      <c r="QWI48" s="47"/>
      <c r="QWJ48" s="62"/>
      <c r="QWK48" s="47"/>
      <c r="QWL48" s="48"/>
      <c r="QWM48" s="47"/>
      <c r="QWN48" s="62"/>
      <c r="QWO48" s="47"/>
      <c r="QWP48" s="48"/>
      <c r="QWQ48" s="47"/>
      <c r="QWR48" s="62"/>
      <c r="QWS48" s="47"/>
      <c r="QWT48" s="48"/>
      <c r="QWU48" s="47"/>
      <c r="QWV48" s="62"/>
      <c r="QWW48" s="47"/>
      <c r="QWX48" s="48"/>
      <c r="QWY48" s="47"/>
      <c r="QWZ48" s="62"/>
      <c r="QXA48" s="47"/>
      <c r="QXB48" s="48"/>
      <c r="QXC48" s="47"/>
      <c r="QXD48" s="62"/>
      <c r="QXE48" s="47"/>
      <c r="QXF48" s="48"/>
      <c r="QXG48" s="47"/>
      <c r="QXH48" s="62"/>
      <c r="QXI48" s="47"/>
      <c r="QXJ48" s="48"/>
      <c r="QXK48" s="47"/>
      <c r="QXL48" s="62"/>
      <c r="QXM48" s="47"/>
      <c r="QXN48" s="48"/>
      <c r="QXO48" s="47"/>
      <c r="QXP48" s="62"/>
      <c r="QXQ48" s="47"/>
      <c r="QXR48" s="48"/>
      <c r="QXS48" s="47"/>
      <c r="QXT48" s="62"/>
      <c r="QXU48" s="47"/>
      <c r="QXV48" s="48"/>
      <c r="QXW48" s="47"/>
      <c r="QXX48" s="62"/>
      <c r="QXY48" s="47"/>
      <c r="QXZ48" s="48"/>
      <c r="QYA48" s="47"/>
      <c r="QYB48" s="62"/>
      <c r="QYC48" s="47"/>
      <c r="QYD48" s="48"/>
      <c r="QYE48" s="47"/>
      <c r="QYF48" s="62"/>
      <c r="QYG48" s="47"/>
      <c r="QYH48" s="48"/>
      <c r="QYI48" s="47"/>
      <c r="QYJ48" s="62"/>
      <c r="QYK48" s="47"/>
      <c r="QYL48" s="48"/>
      <c r="QYM48" s="47"/>
      <c r="QYN48" s="62"/>
      <c r="QYO48" s="47"/>
      <c r="QYP48" s="48"/>
      <c r="QYQ48" s="47"/>
      <c r="QYR48" s="62"/>
      <c r="QYS48" s="47"/>
      <c r="QYT48" s="48"/>
      <c r="QYU48" s="47"/>
      <c r="QYV48" s="62"/>
      <c r="QYW48" s="47"/>
      <c r="QYX48" s="48"/>
      <c r="QYY48" s="47"/>
      <c r="QYZ48" s="62"/>
      <c r="QZA48" s="47"/>
      <c r="QZB48" s="48"/>
      <c r="QZC48" s="47"/>
      <c r="QZD48" s="62"/>
      <c r="QZE48" s="47"/>
      <c r="QZF48" s="48"/>
      <c r="QZG48" s="47"/>
      <c r="QZH48" s="62"/>
      <c r="QZI48" s="47"/>
      <c r="QZJ48" s="48"/>
      <c r="QZK48" s="47"/>
      <c r="QZL48" s="62"/>
      <c r="QZM48" s="47"/>
      <c r="QZN48" s="48"/>
      <c r="QZO48" s="47"/>
      <c r="QZP48" s="62"/>
      <c r="QZQ48" s="47"/>
      <c r="QZR48" s="48"/>
      <c r="QZS48" s="47"/>
      <c r="QZT48" s="62"/>
      <c r="QZU48" s="47"/>
      <c r="QZV48" s="48"/>
      <c r="QZW48" s="47"/>
      <c r="QZX48" s="62"/>
      <c r="QZY48" s="47"/>
      <c r="QZZ48" s="48"/>
      <c r="RAA48" s="47"/>
      <c r="RAB48" s="62"/>
      <c r="RAC48" s="47"/>
      <c r="RAD48" s="48"/>
      <c r="RAE48" s="47"/>
      <c r="RAF48" s="62"/>
      <c r="RAG48" s="47"/>
      <c r="RAH48" s="48"/>
      <c r="RAI48" s="47"/>
      <c r="RAJ48" s="62"/>
      <c r="RAK48" s="47"/>
      <c r="RAL48" s="48"/>
      <c r="RAM48" s="47"/>
      <c r="RAN48" s="62"/>
      <c r="RAO48" s="47"/>
      <c r="RAP48" s="48"/>
      <c r="RAQ48" s="47"/>
      <c r="RAR48" s="62"/>
      <c r="RAS48" s="47"/>
      <c r="RAT48" s="48"/>
      <c r="RAU48" s="47"/>
      <c r="RAV48" s="62"/>
      <c r="RAW48" s="47"/>
      <c r="RAX48" s="48"/>
      <c r="RAY48" s="47"/>
      <c r="RAZ48" s="62"/>
      <c r="RBA48" s="47"/>
      <c r="RBB48" s="48"/>
      <c r="RBC48" s="47"/>
      <c r="RBD48" s="62"/>
      <c r="RBE48" s="47"/>
      <c r="RBF48" s="48"/>
      <c r="RBG48" s="47"/>
      <c r="RBH48" s="62"/>
      <c r="RBI48" s="47"/>
      <c r="RBJ48" s="48"/>
      <c r="RBK48" s="47"/>
      <c r="RBL48" s="62"/>
      <c r="RBM48" s="47"/>
      <c r="RBN48" s="48"/>
      <c r="RBO48" s="47"/>
      <c r="RBP48" s="62"/>
      <c r="RBQ48" s="47"/>
      <c r="RBR48" s="48"/>
      <c r="RBS48" s="47"/>
      <c r="RBT48" s="62"/>
      <c r="RBU48" s="47"/>
      <c r="RBV48" s="48"/>
      <c r="RBW48" s="47"/>
      <c r="RBX48" s="62"/>
      <c r="RBY48" s="47"/>
      <c r="RBZ48" s="48"/>
      <c r="RCA48" s="47"/>
      <c r="RCB48" s="62"/>
      <c r="RCC48" s="47"/>
      <c r="RCD48" s="48"/>
      <c r="RCE48" s="47"/>
      <c r="RCF48" s="62"/>
      <c r="RCG48" s="47"/>
      <c r="RCH48" s="48"/>
      <c r="RCI48" s="47"/>
      <c r="RCJ48" s="62"/>
      <c r="RCK48" s="47"/>
      <c r="RCL48" s="48"/>
      <c r="RCM48" s="47"/>
      <c r="RCN48" s="62"/>
      <c r="RCO48" s="47"/>
      <c r="RCP48" s="48"/>
      <c r="RCQ48" s="47"/>
      <c r="RCR48" s="62"/>
      <c r="RCS48" s="47"/>
      <c r="RCT48" s="48"/>
      <c r="RCU48" s="47"/>
      <c r="RCV48" s="62"/>
      <c r="RCW48" s="47"/>
      <c r="RCX48" s="48"/>
      <c r="RCY48" s="47"/>
      <c r="RCZ48" s="62"/>
      <c r="RDA48" s="47"/>
      <c r="RDB48" s="48"/>
      <c r="RDC48" s="47"/>
      <c r="RDD48" s="62"/>
      <c r="RDE48" s="47"/>
      <c r="RDF48" s="48"/>
      <c r="RDG48" s="47"/>
      <c r="RDH48" s="62"/>
      <c r="RDI48" s="47"/>
      <c r="RDJ48" s="48"/>
      <c r="RDK48" s="47"/>
      <c r="RDL48" s="62"/>
      <c r="RDM48" s="47"/>
      <c r="RDN48" s="48"/>
      <c r="RDO48" s="47"/>
      <c r="RDP48" s="62"/>
      <c r="RDQ48" s="47"/>
      <c r="RDR48" s="48"/>
      <c r="RDS48" s="47"/>
      <c r="RDT48" s="62"/>
      <c r="RDU48" s="47"/>
      <c r="RDV48" s="48"/>
      <c r="RDW48" s="47"/>
      <c r="RDX48" s="62"/>
      <c r="RDY48" s="47"/>
      <c r="RDZ48" s="48"/>
      <c r="REA48" s="47"/>
      <c r="REB48" s="62"/>
      <c r="REC48" s="47"/>
      <c r="RED48" s="48"/>
      <c r="REE48" s="47"/>
      <c r="REF48" s="62"/>
      <c r="REG48" s="47"/>
      <c r="REH48" s="48"/>
      <c r="REI48" s="47"/>
      <c r="REJ48" s="62"/>
      <c r="REK48" s="47"/>
      <c r="REL48" s="48"/>
      <c r="REM48" s="47"/>
      <c r="REN48" s="62"/>
      <c r="REO48" s="47"/>
      <c r="REP48" s="48"/>
      <c r="REQ48" s="47"/>
      <c r="RER48" s="62"/>
      <c r="RES48" s="47"/>
      <c r="RET48" s="48"/>
      <c r="REU48" s="47"/>
      <c r="REV48" s="62"/>
      <c r="REW48" s="47"/>
      <c r="REX48" s="48"/>
      <c r="REY48" s="47"/>
      <c r="REZ48" s="62"/>
      <c r="RFA48" s="47"/>
      <c r="RFB48" s="48"/>
      <c r="RFC48" s="47"/>
      <c r="RFD48" s="62"/>
      <c r="RFE48" s="47"/>
      <c r="RFF48" s="48"/>
      <c r="RFG48" s="47"/>
      <c r="RFH48" s="62"/>
      <c r="RFI48" s="47"/>
      <c r="RFJ48" s="48"/>
      <c r="RFK48" s="47"/>
      <c r="RFL48" s="62"/>
      <c r="RFM48" s="47"/>
      <c r="RFN48" s="48"/>
      <c r="RFO48" s="47"/>
      <c r="RFP48" s="62"/>
      <c r="RFQ48" s="47"/>
      <c r="RFR48" s="48"/>
      <c r="RFS48" s="47"/>
      <c r="RFT48" s="62"/>
      <c r="RFU48" s="47"/>
      <c r="RFV48" s="48"/>
      <c r="RFW48" s="47"/>
      <c r="RFX48" s="62"/>
      <c r="RFY48" s="47"/>
      <c r="RFZ48" s="48"/>
      <c r="RGA48" s="47"/>
      <c r="RGB48" s="62"/>
      <c r="RGC48" s="47"/>
      <c r="RGD48" s="48"/>
      <c r="RGE48" s="47"/>
      <c r="RGF48" s="62"/>
      <c r="RGG48" s="47"/>
      <c r="RGH48" s="48"/>
      <c r="RGI48" s="47"/>
      <c r="RGJ48" s="62"/>
      <c r="RGK48" s="47"/>
      <c r="RGL48" s="48"/>
      <c r="RGM48" s="47"/>
      <c r="RGN48" s="62"/>
      <c r="RGO48" s="47"/>
      <c r="RGP48" s="48"/>
      <c r="RGQ48" s="47"/>
      <c r="RGR48" s="62"/>
      <c r="RGS48" s="47"/>
      <c r="RGT48" s="48"/>
      <c r="RGU48" s="47"/>
      <c r="RGV48" s="62"/>
      <c r="RGW48" s="47"/>
      <c r="RGX48" s="48"/>
      <c r="RGY48" s="47"/>
      <c r="RGZ48" s="62"/>
      <c r="RHA48" s="47"/>
      <c r="RHB48" s="48"/>
      <c r="RHC48" s="47"/>
      <c r="RHD48" s="62"/>
      <c r="RHE48" s="47"/>
      <c r="RHF48" s="48"/>
      <c r="RHG48" s="47"/>
      <c r="RHH48" s="62"/>
      <c r="RHI48" s="47"/>
      <c r="RHJ48" s="48"/>
      <c r="RHK48" s="47"/>
      <c r="RHL48" s="62"/>
      <c r="RHM48" s="47"/>
      <c r="RHN48" s="48"/>
      <c r="RHO48" s="47"/>
      <c r="RHP48" s="62"/>
      <c r="RHQ48" s="47"/>
      <c r="RHR48" s="48"/>
      <c r="RHS48" s="47"/>
      <c r="RHT48" s="62"/>
      <c r="RHU48" s="47"/>
      <c r="RHV48" s="48"/>
      <c r="RHW48" s="47"/>
      <c r="RHX48" s="62"/>
      <c r="RHY48" s="47"/>
      <c r="RHZ48" s="48"/>
      <c r="RIA48" s="47"/>
      <c r="RIB48" s="62"/>
      <c r="RIC48" s="47"/>
      <c r="RID48" s="48"/>
      <c r="RIE48" s="47"/>
      <c r="RIF48" s="62"/>
      <c r="RIG48" s="47"/>
      <c r="RIH48" s="48"/>
      <c r="RII48" s="47"/>
      <c r="RIJ48" s="62"/>
      <c r="RIK48" s="47"/>
      <c r="RIL48" s="48"/>
      <c r="RIM48" s="47"/>
      <c r="RIN48" s="62"/>
      <c r="RIO48" s="47"/>
      <c r="RIP48" s="48"/>
      <c r="RIQ48" s="47"/>
      <c r="RIR48" s="62"/>
      <c r="RIS48" s="47"/>
      <c r="RIT48" s="48"/>
      <c r="RIU48" s="47"/>
      <c r="RIV48" s="62"/>
      <c r="RIW48" s="47"/>
      <c r="RIX48" s="48"/>
      <c r="RIY48" s="47"/>
      <c r="RIZ48" s="62"/>
      <c r="RJA48" s="47"/>
      <c r="RJB48" s="48"/>
      <c r="RJC48" s="47"/>
      <c r="RJD48" s="62"/>
      <c r="RJE48" s="47"/>
      <c r="RJF48" s="48"/>
      <c r="RJG48" s="47"/>
      <c r="RJH48" s="62"/>
      <c r="RJI48" s="47"/>
      <c r="RJJ48" s="48"/>
      <c r="RJK48" s="47"/>
      <c r="RJL48" s="62"/>
      <c r="RJM48" s="47"/>
      <c r="RJN48" s="48"/>
      <c r="RJO48" s="47"/>
      <c r="RJP48" s="62"/>
      <c r="RJQ48" s="47"/>
      <c r="RJR48" s="48"/>
      <c r="RJS48" s="47"/>
      <c r="RJT48" s="62"/>
      <c r="RJU48" s="47"/>
      <c r="RJV48" s="48"/>
      <c r="RJW48" s="47"/>
      <c r="RJX48" s="62"/>
      <c r="RJY48" s="47"/>
      <c r="RJZ48" s="48"/>
      <c r="RKA48" s="47"/>
      <c r="RKB48" s="62"/>
      <c r="RKC48" s="47"/>
      <c r="RKD48" s="48"/>
      <c r="RKE48" s="47"/>
      <c r="RKF48" s="62"/>
      <c r="RKG48" s="47"/>
      <c r="RKH48" s="48"/>
      <c r="RKI48" s="47"/>
      <c r="RKJ48" s="62"/>
      <c r="RKK48" s="47"/>
      <c r="RKL48" s="48"/>
      <c r="RKM48" s="47"/>
      <c r="RKN48" s="62"/>
      <c r="RKO48" s="47"/>
      <c r="RKP48" s="48"/>
      <c r="RKQ48" s="47"/>
      <c r="RKR48" s="62"/>
      <c r="RKS48" s="47"/>
      <c r="RKT48" s="48"/>
      <c r="RKU48" s="47"/>
      <c r="RKV48" s="62"/>
      <c r="RKW48" s="47"/>
      <c r="RKX48" s="48"/>
      <c r="RKY48" s="47"/>
      <c r="RKZ48" s="62"/>
      <c r="RLA48" s="47"/>
      <c r="RLB48" s="48"/>
      <c r="RLC48" s="47"/>
      <c r="RLD48" s="62"/>
      <c r="RLE48" s="47"/>
      <c r="RLF48" s="48"/>
      <c r="RLG48" s="47"/>
      <c r="RLH48" s="62"/>
      <c r="RLI48" s="47"/>
      <c r="RLJ48" s="48"/>
      <c r="RLK48" s="47"/>
      <c r="RLL48" s="62"/>
      <c r="RLM48" s="47"/>
      <c r="RLN48" s="48"/>
      <c r="RLO48" s="47"/>
      <c r="RLP48" s="62"/>
      <c r="RLQ48" s="47"/>
      <c r="RLR48" s="48"/>
      <c r="RLS48" s="47"/>
      <c r="RLT48" s="62"/>
      <c r="RLU48" s="47"/>
      <c r="RLV48" s="48"/>
      <c r="RLW48" s="47"/>
      <c r="RLX48" s="62"/>
      <c r="RLY48" s="47"/>
      <c r="RLZ48" s="48"/>
      <c r="RMA48" s="47"/>
      <c r="RMB48" s="62"/>
      <c r="RMC48" s="47"/>
      <c r="RMD48" s="48"/>
      <c r="RME48" s="47"/>
      <c r="RMF48" s="62"/>
      <c r="RMG48" s="47"/>
      <c r="RMH48" s="48"/>
      <c r="RMI48" s="47"/>
      <c r="RMJ48" s="62"/>
      <c r="RMK48" s="47"/>
      <c r="RML48" s="48"/>
      <c r="RMM48" s="47"/>
      <c r="RMN48" s="62"/>
      <c r="RMO48" s="47"/>
      <c r="RMP48" s="48"/>
      <c r="RMQ48" s="47"/>
      <c r="RMR48" s="62"/>
      <c r="RMS48" s="47"/>
      <c r="RMT48" s="48"/>
      <c r="RMU48" s="47"/>
      <c r="RMV48" s="62"/>
      <c r="RMW48" s="47"/>
      <c r="RMX48" s="48"/>
      <c r="RMY48" s="47"/>
      <c r="RMZ48" s="62"/>
      <c r="RNA48" s="47"/>
      <c r="RNB48" s="48"/>
      <c r="RNC48" s="47"/>
      <c r="RND48" s="62"/>
      <c r="RNE48" s="47"/>
      <c r="RNF48" s="48"/>
      <c r="RNG48" s="47"/>
      <c r="RNH48" s="62"/>
      <c r="RNI48" s="47"/>
      <c r="RNJ48" s="48"/>
      <c r="RNK48" s="47"/>
      <c r="RNL48" s="62"/>
      <c r="RNM48" s="47"/>
      <c r="RNN48" s="48"/>
      <c r="RNO48" s="47"/>
      <c r="RNP48" s="62"/>
      <c r="RNQ48" s="47"/>
      <c r="RNR48" s="48"/>
      <c r="RNS48" s="47"/>
      <c r="RNT48" s="62"/>
      <c r="RNU48" s="47"/>
      <c r="RNV48" s="48"/>
      <c r="RNW48" s="47"/>
      <c r="RNX48" s="62"/>
      <c r="RNY48" s="47"/>
      <c r="RNZ48" s="48"/>
      <c r="ROA48" s="47"/>
      <c r="ROB48" s="62"/>
      <c r="ROC48" s="47"/>
      <c r="ROD48" s="48"/>
      <c r="ROE48" s="47"/>
      <c r="ROF48" s="62"/>
      <c r="ROG48" s="47"/>
      <c r="ROH48" s="48"/>
      <c r="ROI48" s="47"/>
      <c r="ROJ48" s="62"/>
      <c r="ROK48" s="47"/>
      <c r="ROL48" s="48"/>
      <c r="ROM48" s="47"/>
      <c r="RON48" s="62"/>
      <c r="ROO48" s="47"/>
      <c r="ROP48" s="48"/>
      <c r="ROQ48" s="47"/>
      <c r="ROR48" s="62"/>
      <c r="ROS48" s="47"/>
      <c r="ROT48" s="48"/>
      <c r="ROU48" s="47"/>
      <c r="ROV48" s="62"/>
      <c r="ROW48" s="47"/>
      <c r="ROX48" s="48"/>
      <c r="ROY48" s="47"/>
      <c r="ROZ48" s="62"/>
      <c r="RPA48" s="47"/>
      <c r="RPB48" s="48"/>
      <c r="RPC48" s="47"/>
      <c r="RPD48" s="62"/>
      <c r="RPE48" s="47"/>
      <c r="RPF48" s="48"/>
      <c r="RPG48" s="47"/>
      <c r="RPH48" s="62"/>
      <c r="RPI48" s="47"/>
      <c r="RPJ48" s="48"/>
      <c r="RPK48" s="47"/>
      <c r="RPL48" s="62"/>
      <c r="RPM48" s="47"/>
      <c r="RPN48" s="48"/>
      <c r="RPO48" s="47"/>
      <c r="RPP48" s="62"/>
      <c r="RPQ48" s="47"/>
      <c r="RPR48" s="48"/>
      <c r="RPS48" s="47"/>
      <c r="RPT48" s="62"/>
      <c r="RPU48" s="47"/>
      <c r="RPV48" s="48"/>
      <c r="RPW48" s="47"/>
      <c r="RPX48" s="62"/>
      <c r="RPY48" s="47"/>
      <c r="RPZ48" s="48"/>
      <c r="RQA48" s="47"/>
      <c r="RQB48" s="62"/>
      <c r="RQC48" s="47"/>
      <c r="RQD48" s="48"/>
      <c r="RQE48" s="47"/>
      <c r="RQF48" s="62"/>
      <c r="RQG48" s="47"/>
      <c r="RQH48" s="48"/>
      <c r="RQI48" s="47"/>
      <c r="RQJ48" s="62"/>
      <c r="RQK48" s="47"/>
      <c r="RQL48" s="48"/>
      <c r="RQM48" s="47"/>
      <c r="RQN48" s="62"/>
      <c r="RQO48" s="47"/>
      <c r="RQP48" s="48"/>
      <c r="RQQ48" s="47"/>
      <c r="RQR48" s="62"/>
      <c r="RQS48" s="47"/>
      <c r="RQT48" s="48"/>
      <c r="RQU48" s="47"/>
      <c r="RQV48" s="62"/>
      <c r="RQW48" s="47"/>
      <c r="RQX48" s="48"/>
      <c r="RQY48" s="47"/>
      <c r="RQZ48" s="62"/>
      <c r="RRA48" s="47"/>
      <c r="RRB48" s="48"/>
      <c r="RRC48" s="47"/>
      <c r="RRD48" s="62"/>
      <c r="RRE48" s="47"/>
      <c r="RRF48" s="48"/>
      <c r="RRG48" s="47"/>
      <c r="RRH48" s="62"/>
      <c r="RRI48" s="47"/>
      <c r="RRJ48" s="48"/>
      <c r="RRK48" s="47"/>
      <c r="RRL48" s="62"/>
      <c r="RRM48" s="47"/>
      <c r="RRN48" s="48"/>
      <c r="RRO48" s="47"/>
      <c r="RRP48" s="62"/>
      <c r="RRQ48" s="47"/>
      <c r="RRR48" s="48"/>
      <c r="RRS48" s="47"/>
      <c r="RRT48" s="62"/>
      <c r="RRU48" s="47"/>
      <c r="RRV48" s="48"/>
      <c r="RRW48" s="47"/>
      <c r="RRX48" s="62"/>
      <c r="RRY48" s="47"/>
      <c r="RRZ48" s="48"/>
      <c r="RSA48" s="47"/>
      <c r="RSB48" s="62"/>
      <c r="RSC48" s="47"/>
      <c r="RSD48" s="48"/>
      <c r="RSE48" s="47"/>
      <c r="RSF48" s="62"/>
      <c r="RSG48" s="47"/>
      <c r="RSH48" s="48"/>
      <c r="RSI48" s="47"/>
      <c r="RSJ48" s="62"/>
      <c r="RSK48" s="47"/>
      <c r="RSL48" s="48"/>
      <c r="RSM48" s="47"/>
      <c r="RSN48" s="62"/>
      <c r="RSO48" s="47"/>
      <c r="RSP48" s="48"/>
      <c r="RSQ48" s="47"/>
      <c r="RSR48" s="62"/>
      <c r="RSS48" s="47"/>
      <c r="RST48" s="48"/>
      <c r="RSU48" s="47"/>
      <c r="RSV48" s="62"/>
      <c r="RSW48" s="47"/>
      <c r="RSX48" s="48"/>
      <c r="RSY48" s="47"/>
      <c r="RSZ48" s="62"/>
      <c r="RTA48" s="47"/>
      <c r="RTB48" s="48"/>
      <c r="RTC48" s="47"/>
      <c r="RTD48" s="62"/>
      <c r="RTE48" s="47"/>
      <c r="RTF48" s="48"/>
      <c r="RTG48" s="47"/>
      <c r="RTH48" s="62"/>
      <c r="RTI48" s="47"/>
      <c r="RTJ48" s="48"/>
      <c r="RTK48" s="47"/>
      <c r="RTL48" s="62"/>
      <c r="RTM48" s="47"/>
      <c r="RTN48" s="48"/>
      <c r="RTO48" s="47"/>
      <c r="RTP48" s="62"/>
      <c r="RTQ48" s="47"/>
      <c r="RTR48" s="48"/>
      <c r="RTS48" s="47"/>
      <c r="RTT48" s="62"/>
      <c r="RTU48" s="47"/>
      <c r="RTV48" s="48"/>
      <c r="RTW48" s="47"/>
      <c r="RTX48" s="62"/>
      <c r="RTY48" s="47"/>
      <c r="RTZ48" s="48"/>
      <c r="RUA48" s="47"/>
      <c r="RUB48" s="62"/>
      <c r="RUC48" s="47"/>
      <c r="RUD48" s="48"/>
      <c r="RUE48" s="47"/>
      <c r="RUF48" s="62"/>
      <c r="RUG48" s="47"/>
      <c r="RUH48" s="48"/>
      <c r="RUI48" s="47"/>
      <c r="RUJ48" s="62"/>
      <c r="RUK48" s="47"/>
      <c r="RUL48" s="48"/>
      <c r="RUM48" s="47"/>
      <c r="RUN48" s="62"/>
      <c r="RUO48" s="47"/>
      <c r="RUP48" s="48"/>
      <c r="RUQ48" s="47"/>
      <c r="RUR48" s="62"/>
      <c r="RUS48" s="47"/>
      <c r="RUT48" s="48"/>
      <c r="RUU48" s="47"/>
      <c r="RUV48" s="62"/>
      <c r="RUW48" s="47"/>
      <c r="RUX48" s="48"/>
      <c r="RUY48" s="47"/>
      <c r="RUZ48" s="62"/>
      <c r="RVA48" s="47"/>
      <c r="RVB48" s="48"/>
      <c r="RVC48" s="47"/>
      <c r="RVD48" s="62"/>
      <c r="RVE48" s="47"/>
      <c r="RVF48" s="48"/>
      <c r="RVG48" s="47"/>
      <c r="RVH48" s="62"/>
      <c r="RVI48" s="47"/>
      <c r="RVJ48" s="48"/>
      <c r="RVK48" s="47"/>
      <c r="RVL48" s="62"/>
      <c r="RVM48" s="47"/>
      <c r="RVN48" s="48"/>
      <c r="RVO48" s="47"/>
      <c r="RVP48" s="62"/>
      <c r="RVQ48" s="47"/>
      <c r="RVR48" s="48"/>
      <c r="RVS48" s="47"/>
      <c r="RVT48" s="62"/>
      <c r="RVU48" s="47"/>
      <c r="RVV48" s="48"/>
      <c r="RVW48" s="47"/>
      <c r="RVX48" s="62"/>
      <c r="RVY48" s="47"/>
      <c r="RVZ48" s="48"/>
      <c r="RWA48" s="47"/>
      <c r="RWB48" s="62"/>
      <c r="RWC48" s="47"/>
      <c r="RWD48" s="48"/>
      <c r="RWE48" s="47"/>
      <c r="RWF48" s="62"/>
      <c r="RWG48" s="47"/>
      <c r="RWH48" s="48"/>
      <c r="RWI48" s="47"/>
      <c r="RWJ48" s="62"/>
      <c r="RWK48" s="47"/>
      <c r="RWL48" s="48"/>
      <c r="RWM48" s="47"/>
      <c r="RWN48" s="62"/>
      <c r="RWO48" s="47"/>
      <c r="RWP48" s="48"/>
      <c r="RWQ48" s="47"/>
      <c r="RWR48" s="62"/>
      <c r="RWS48" s="47"/>
      <c r="RWT48" s="48"/>
      <c r="RWU48" s="47"/>
      <c r="RWV48" s="62"/>
      <c r="RWW48" s="47"/>
      <c r="RWX48" s="48"/>
      <c r="RWY48" s="47"/>
      <c r="RWZ48" s="62"/>
      <c r="RXA48" s="47"/>
      <c r="RXB48" s="48"/>
      <c r="RXC48" s="47"/>
      <c r="RXD48" s="62"/>
      <c r="RXE48" s="47"/>
      <c r="RXF48" s="48"/>
      <c r="RXG48" s="47"/>
      <c r="RXH48" s="62"/>
      <c r="RXI48" s="47"/>
      <c r="RXJ48" s="48"/>
      <c r="RXK48" s="47"/>
      <c r="RXL48" s="62"/>
      <c r="RXM48" s="47"/>
      <c r="RXN48" s="48"/>
      <c r="RXO48" s="47"/>
      <c r="RXP48" s="62"/>
      <c r="RXQ48" s="47"/>
      <c r="RXR48" s="48"/>
      <c r="RXS48" s="47"/>
      <c r="RXT48" s="62"/>
      <c r="RXU48" s="47"/>
      <c r="RXV48" s="48"/>
      <c r="RXW48" s="47"/>
      <c r="RXX48" s="62"/>
      <c r="RXY48" s="47"/>
      <c r="RXZ48" s="48"/>
      <c r="RYA48" s="47"/>
      <c r="RYB48" s="62"/>
      <c r="RYC48" s="47"/>
      <c r="RYD48" s="48"/>
      <c r="RYE48" s="47"/>
      <c r="RYF48" s="62"/>
      <c r="RYG48" s="47"/>
      <c r="RYH48" s="48"/>
      <c r="RYI48" s="47"/>
      <c r="RYJ48" s="62"/>
      <c r="RYK48" s="47"/>
      <c r="RYL48" s="48"/>
      <c r="RYM48" s="47"/>
      <c r="RYN48" s="62"/>
      <c r="RYO48" s="47"/>
      <c r="RYP48" s="48"/>
      <c r="RYQ48" s="47"/>
      <c r="RYR48" s="62"/>
      <c r="RYS48" s="47"/>
      <c r="RYT48" s="48"/>
      <c r="RYU48" s="47"/>
      <c r="RYV48" s="62"/>
      <c r="RYW48" s="47"/>
      <c r="RYX48" s="48"/>
      <c r="RYY48" s="47"/>
      <c r="RYZ48" s="62"/>
      <c r="RZA48" s="47"/>
      <c r="RZB48" s="48"/>
      <c r="RZC48" s="47"/>
      <c r="RZD48" s="62"/>
      <c r="RZE48" s="47"/>
      <c r="RZF48" s="48"/>
      <c r="RZG48" s="47"/>
      <c r="RZH48" s="62"/>
      <c r="RZI48" s="47"/>
      <c r="RZJ48" s="48"/>
      <c r="RZK48" s="47"/>
      <c r="RZL48" s="62"/>
      <c r="RZM48" s="47"/>
      <c r="RZN48" s="48"/>
      <c r="RZO48" s="47"/>
      <c r="RZP48" s="62"/>
      <c r="RZQ48" s="47"/>
      <c r="RZR48" s="48"/>
      <c r="RZS48" s="47"/>
      <c r="RZT48" s="62"/>
      <c r="RZU48" s="47"/>
      <c r="RZV48" s="48"/>
      <c r="RZW48" s="47"/>
      <c r="RZX48" s="62"/>
      <c r="RZY48" s="47"/>
      <c r="RZZ48" s="48"/>
      <c r="SAA48" s="47"/>
      <c r="SAB48" s="62"/>
      <c r="SAC48" s="47"/>
      <c r="SAD48" s="48"/>
      <c r="SAE48" s="47"/>
      <c r="SAF48" s="62"/>
      <c r="SAG48" s="47"/>
      <c r="SAH48" s="48"/>
      <c r="SAI48" s="47"/>
      <c r="SAJ48" s="62"/>
      <c r="SAK48" s="47"/>
      <c r="SAL48" s="48"/>
      <c r="SAM48" s="47"/>
      <c r="SAN48" s="62"/>
      <c r="SAO48" s="47"/>
      <c r="SAP48" s="48"/>
      <c r="SAQ48" s="47"/>
      <c r="SAR48" s="62"/>
      <c r="SAS48" s="47"/>
      <c r="SAT48" s="48"/>
      <c r="SAU48" s="47"/>
      <c r="SAV48" s="62"/>
      <c r="SAW48" s="47"/>
      <c r="SAX48" s="48"/>
      <c r="SAY48" s="47"/>
      <c r="SAZ48" s="62"/>
      <c r="SBA48" s="47"/>
      <c r="SBB48" s="48"/>
      <c r="SBC48" s="47"/>
      <c r="SBD48" s="62"/>
      <c r="SBE48" s="47"/>
      <c r="SBF48" s="48"/>
      <c r="SBG48" s="47"/>
      <c r="SBH48" s="62"/>
      <c r="SBI48" s="47"/>
      <c r="SBJ48" s="48"/>
      <c r="SBK48" s="47"/>
      <c r="SBL48" s="62"/>
      <c r="SBM48" s="47"/>
      <c r="SBN48" s="48"/>
      <c r="SBO48" s="47"/>
      <c r="SBP48" s="62"/>
      <c r="SBQ48" s="47"/>
      <c r="SBR48" s="48"/>
      <c r="SBS48" s="47"/>
      <c r="SBT48" s="62"/>
      <c r="SBU48" s="47"/>
      <c r="SBV48" s="48"/>
      <c r="SBW48" s="47"/>
      <c r="SBX48" s="62"/>
      <c r="SBY48" s="47"/>
      <c r="SBZ48" s="48"/>
      <c r="SCA48" s="47"/>
      <c r="SCB48" s="62"/>
      <c r="SCC48" s="47"/>
      <c r="SCD48" s="48"/>
      <c r="SCE48" s="47"/>
      <c r="SCF48" s="62"/>
      <c r="SCG48" s="47"/>
      <c r="SCH48" s="48"/>
      <c r="SCI48" s="47"/>
      <c r="SCJ48" s="62"/>
      <c r="SCK48" s="47"/>
      <c r="SCL48" s="48"/>
      <c r="SCM48" s="47"/>
      <c r="SCN48" s="62"/>
      <c r="SCO48" s="47"/>
      <c r="SCP48" s="48"/>
      <c r="SCQ48" s="47"/>
      <c r="SCR48" s="62"/>
      <c r="SCS48" s="47"/>
      <c r="SCT48" s="48"/>
      <c r="SCU48" s="47"/>
      <c r="SCV48" s="62"/>
      <c r="SCW48" s="47"/>
      <c r="SCX48" s="48"/>
      <c r="SCY48" s="47"/>
      <c r="SCZ48" s="62"/>
      <c r="SDA48" s="47"/>
      <c r="SDB48" s="48"/>
      <c r="SDC48" s="47"/>
      <c r="SDD48" s="62"/>
      <c r="SDE48" s="47"/>
      <c r="SDF48" s="48"/>
      <c r="SDG48" s="47"/>
      <c r="SDH48" s="62"/>
      <c r="SDI48" s="47"/>
      <c r="SDJ48" s="48"/>
      <c r="SDK48" s="47"/>
      <c r="SDL48" s="62"/>
      <c r="SDM48" s="47"/>
      <c r="SDN48" s="48"/>
      <c r="SDO48" s="47"/>
      <c r="SDP48" s="62"/>
      <c r="SDQ48" s="47"/>
      <c r="SDR48" s="48"/>
      <c r="SDS48" s="47"/>
      <c r="SDT48" s="62"/>
      <c r="SDU48" s="47"/>
      <c r="SDV48" s="48"/>
      <c r="SDW48" s="47"/>
      <c r="SDX48" s="62"/>
      <c r="SDY48" s="47"/>
      <c r="SDZ48" s="48"/>
      <c r="SEA48" s="47"/>
      <c r="SEB48" s="62"/>
      <c r="SEC48" s="47"/>
      <c r="SED48" s="48"/>
      <c r="SEE48" s="47"/>
      <c r="SEF48" s="62"/>
      <c r="SEG48" s="47"/>
      <c r="SEH48" s="48"/>
      <c r="SEI48" s="47"/>
      <c r="SEJ48" s="62"/>
      <c r="SEK48" s="47"/>
      <c r="SEL48" s="48"/>
      <c r="SEM48" s="47"/>
      <c r="SEN48" s="62"/>
      <c r="SEO48" s="47"/>
      <c r="SEP48" s="48"/>
      <c r="SEQ48" s="47"/>
      <c r="SER48" s="62"/>
      <c r="SES48" s="47"/>
      <c r="SET48" s="48"/>
      <c r="SEU48" s="47"/>
      <c r="SEV48" s="62"/>
      <c r="SEW48" s="47"/>
      <c r="SEX48" s="48"/>
      <c r="SEY48" s="47"/>
      <c r="SEZ48" s="62"/>
      <c r="SFA48" s="47"/>
      <c r="SFB48" s="48"/>
      <c r="SFC48" s="47"/>
      <c r="SFD48" s="62"/>
      <c r="SFE48" s="47"/>
      <c r="SFF48" s="48"/>
      <c r="SFG48" s="47"/>
      <c r="SFH48" s="62"/>
      <c r="SFI48" s="47"/>
      <c r="SFJ48" s="48"/>
      <c r="SFK48" s="47"/>
      <c r="SFL48" s="62"/>
      <c r="SFM48" s="47"/>
      <c r="SFN48" s="48"/>
      <c r="SFO48" s="47"/>
      <c r="SFP48" s="62"/>
      <c r="SFQ48" s="47"/>
      <c r="SFR48" s="48"/>
      <c r="SFS48" s="47"/>
      <c r="SFT48" s="62"/>
      <c r="SFU48" s="47"/>
      <c r="SFV48" s="48"/>
      <c r="SFW48" s="47"/>
      <c r="SFX48" s="62"/>
      <c r="SFY48" s="47"/>
      <c r="SFZ48" s="48"/>
      <c r="SGA48" s="47"/>
      <c r="SGB48" s="62"/>
      <c r="SGC48" s="47"/>
      <c r="SGD48" s="48"/>
      <c r="SGE48" s="47"/>
      <c r="SGF48" s="62"/>
      <c r="SGG48" s="47"/>
      <c r="SGH48" s="48"/>
      <c r="SGI48" s="47"/>
      <c r="SGJ48" s="62"/>
      <c r="SGK48" s="47"/>
      <c r="SGL48" s="48"/>
      <c r="SGM48" s="47"/>
      <c r="SGN48" s="62"/>
      <c r="SGO48" s="47"/>
      <c r="SGP48" s="48"/>
      <c r="SGQ48" s="47"/>
      <c r="SGR48" s="62"/>
      <c r="SGS48" s="47"/>
      <c r="SGT48" s="48"/>
      <c r="SGU48" s="47"/>
      <c r="SGV48" s="62"/>
      <c r="SGW48" s="47"/>
      <c r="SGX48" s="48"/>
      <c r="SGY48" s="47"/>
      <c r="SGZ48" s="62"/>
      <c r="SHA48" s="47"/>
      <c r="SHB48" s="48"/>
      <c r="SHC48" s="47"/>
      <c r="SHD48" s="62"/>
      <c r="SHE48" s="47"/>
      <c r="SHF48" s="48"/>
      <c r="SHG48" s="47"/>
      <c r="SHH48" s="62"/>
      <c r="SHI48" s="47"/>
      <c r="SHJ48" s="48"/>
      <c r="SHK48" s="47"/>
      <c r="SHL48" s="62"/>
      <c r="SHM48" s="47"/>
      <c r="SHN48" s="48"/>
      <c r="SHO48" s="47"/>
      <c r="SHP48" s="62"/>
      <c r="SHQ48" s="47"/>
      <c r="SHR48" s="48"/>
      <c r="SHS48" s="47"/>
      <c r="SHT48" s="62"/>
      <c r="SHU48" s="47"/>
      <c r="SHV48" s="48"/>
      <c r="SHW48" s="47"/>
      <c r="SHX48" s="62"/>
      <c r="SHY48" s="47"/>
      <c r="SHZ48" s="48"/>
      <c r="SIA48" s="47"/>
      <c r="SIB48" s="62"/>
      <c r="SIC48" s="47"/>
      <c r="SID48" s="48"/>
      <c r="SIE48" s="47"/>
      <c r="SIF48" s="62"/>
      <c r="SIG48" s="47"/>
      <c r="SIH48" s="48"/>
      <c r="SII48" s="47"/>
      <c r="SIJ48" s="62"/>
      <c r="SIK48" s="47"/>
      <c r="SIL48" s="48"/>
      <c r="SIM48" s="47"/>
      <c r="SIN48" s="62"/>
      <c r="SIO48" s="47"/>
      <c r="SIP48" s="48"/>
      <c r="SIQ48" s="47"/>
      <c r="SIR48" s="62"/>
      <c r="SIS48" s="47"/>
      <c r="SIT48" s="48"/>
      <c r="SIU48" s="47"/>
      <c r="SIV48" s="62"/>
      <c r="SIW48" s="47"/>
      <c r="SIX48" s="48"/>
      <c r="SIY48" s="47"/>
      <c r="SIZ48" s="62"/>
      <c r="SJA48" s="47"/>
      <c r="SJB48" s="48"/>
      <c r="SJC48" s="47"/>
      <c r="SJD48" s="62"/>
      <c r="SJE48" s="47"/>
      <c r="SJF48" s="48"/>
      <c r="SJG48" s="47"/>
      <c r="SJH48" s="62"/>
      <c r="SJI48" s="47"/>
      <c r="SJJ48" s="48"/>
      <c r="SJK48" s="47"/>
      <c r="SJL48" s="62"/>
      <c r="SJM48" s="47"/>
      <c r="SJN48" s="48"/>
      <c r="SJO48" s="47"/>
      <c r="SJP48" s="62"/>
      <c r="SJQ48" s="47"/>
      <c r="SJR48" s="48"/>
      <c r="SJS48" s="47"/>
      <c r="SJT48" s="62"/>
      <c r="SJU48" s="47"/>
      <c r="SJV48" s="48"/>
      <c r="SJW48" s="47"/>
      <c r="SJX48" s="62"/>
      <c r="SJY48" s="47"/>
      <c r="SJZ48" s="48"/>
      <c r="SKA48" s="47"/>
      <c r="SKB48" s="62"/>
      <c r="SKC48" s="47"/>
      <c r="SKD48" s="48"/>
      <c r="SKE48" s="47"/>
      <c r="SKF48" s="62"/>
      <c r="SKG48" s="47"/>
      <c r="SKH48" s="48"/>
      <c r="SKI48" s="47"/>
      <c r="SKJ48" s="62"/>
      <c r="SKK48" s="47"/>
      <c r="SKL48" s="48"/>
      <c r="SKM48" s="47"/>
      <c r="SKN48" s="62"/>
      <c r="SKO48" s="47"/>
      <c r="SKP48" s="48"/>
      <c r="SKQ48" s="47"/>
      <c r="SKR48" s="62"/>
      <c r="SKS48" s="47"/>
      <c r="SKT48" s="48"/>
      <c r="SKU48" s="47"/>
      <c r="SKV48" s="62"/>
      <c r="SKW48" s="47"/>
      <c r="SKX48" s="48"/>
      <c r="SKY48" s="47"/>
      <c r="SKZ48" s="62"/>
      <c r="SLA48" s="47"/>
      <c r="SLB48" s="48"/>
      <c r="SLC48" s="47"/>
      <c r="SLD48" s="62"/>
      <c r="SLE48" s="47"/>
      <c r="SLF48" s="48"/>
      <c r="SLG48" s="47"/>
      <c r="SLH48" s="62"/>
      <c r="SLI48" s="47"/>
      <c r="SLJ48" s="48"/>
      <c r="SLK48" s="47"/>
      <c r="SLL48" s="62"/>
      <c r="SLM48" s="47"/>
      <c r="SLN48" s="48"/>
      <c r="SLO48" s="47"/>
      <c r="SLP48" s="62"/>
      <c r="SLQ48" s="47"/>
      <c r="SLR48" s="48"/>
      <c r="SLS48" s="47"/>
      <c r="SLT48" s="62"/>
      <c r="SLU48" s="47"/>
      <c r="SLV48" s="48"/>
      <c r="SLW48" s="47"/>
      <c r="SLX48" s="62"/>
      <c r="SLY48" s="47"/>
      <c r="SLZ48" s="48"/>
      <c r="SMA48" s="47"/>
      <c r="SMB48" s="62"/>
      <c r="SMC48" s="47"/>
      <c r="SMD48" s="48"/>
      <c r="SME48" s="47"/>
      <c r="SMF48" s="62"/>
      <c r="SMG48" s="47"/>
      <c r="SMH48" s="48"/>
      <c r="SMI48" s="47"/>
      <c r="SMJ48" s="62"/>
      <c r="SMK48" s="47"/>
      <c r="SML48" s="48"/>
      <c r="SMM48" s="47"/>
      <c r="SMN48" s="62"/>
      <c r="SMO48" s="47"/>
      <c r="SMP48" s="48"/>
      <c r="SMQ48" s="47"/>
      <c r="SMR48" s="62"/>
      <c r="SMS48" s="47"/>
      <c r="SMT48" s="48"/>
      <c r="SMU48" s="47"/>
      <c r="SMV48" s="62"/>
      <c r="SMW48" s="47"/>
      <c r="SMX48" s="48"/>
      <c r="SMY48" s="47"/>
      <c r="SMZ48" s="62"/>
      <c r="SNA48" s="47"/>
      <c r="SNB48" s="48"/>
      <c r="SNC48" s="47"/>
      <c r="SND48" s="62"/>
      <c r="SNE48" s="47"/>
      <c r="SNF48" s="48"/>
      <c r="SNG48" s="47"/>
      <c r="SNH48" s="62"/>
      <c r="SNI48" s="47"/>
      <c r="SNJ48" s="48"/>
      <c r="SNK48" s="47"/>
      <c r="SNL48" s="62"/>
      <c r="SNM48" s="47"/>
      <c r="SNN48" s="48"/>
      <c r="SNO48" s="47"/>
      <c r="SNP48" s="62"/>
      <c r="SNQ48" s="47"/>
      <c r="SNR48" s="48"/>
      <c r="SNS48" s="47"/>
      <c r="SNT48" s="62"/>
      <c r="SNU48" s="47"/>
      <c r="SNV48" s="48"/>
      <c r="SNW48" s="47"/>
      <c r="SNX48" s="62"/>
      <c r="SNY48" s="47"/>
      <c r="SNZ48" s="48"/>
      <c r="SOA48" s="47"/>
      <c r="SOB48" s="62"/>
      <c r="SOC48" s="47"/>
      <c r="SOD48" s="48"/>
      <c r="SOE48" s="47"/>
      <c r="SOF48" s="62"/>
      <c r="SOG48" s="47"/>
      <c r="SOH48" s="48"/>
      <c r="SOI48" s="47"/>
      <c r="SOJ48" s="62"/>
      <c r="SOK48" s="47"/>
      <c r="SOL48" s="48"/>
      <c r="SOM48" s="47"/>
      <c r="SON48" s="62"/>
      <c r="SOO48" s="47"/>
      <c r="SOP48" s="48"/>
      <c r="SOQ48" s="47"/>
      <c r="SOR48" s="62"/>
      <c r="SOS48" s="47"/>
      <c r="SOT48" s="48"/>
      <c r="SOU48" s="47"/>
      <c r="SOV48" s="62"/>
      <c r="SOW48" s="47"/>
      <c r="SOX48" s="48"/>
      <c r="SOY48" s="47"/>
      <c r="SOZ48" s="62"/>
      <c r="SPA48" s="47"/>
      <c r="SPB48" s="48"/>
      <c r="SPC48" s="47"/>
      <c r="SPD48" s="62"/>
      <c r="SPE48" s="47"/>
      <c r="SPF48" s="48"/>
      <c r="SPG48" s="47"/>
      <c r="SPH48" s="62"/>
      <c r="SPI48" s="47"/>
      <c r="SPJ48" s="48"/>
      <c r="SPK48" s="47"/>
      <c r="SPL48" s="62"/>
      <c r="SPM48" s="47"/>
      <c r="SPN48" s="48"/>
      <c r="SPO48" s="47"/>
      <c r="SPP48" s="62"/>
      <c r="SPQ48" s="47"/>
      <c r="SPR48" s="48"/>
      <c r="SPS48" s="47"/>
      <c r="SPT48" s="62"/>
      <c r="SPU48" s="47"/>
      <c r="SPV48" s="48"/>
      <c r="SPW48" s="47"/>
      <c r="SPX48" s="62"/>
      <c r="SPY48" s="47"/>
      <c r="SPZ48" s="48"/>
      <c r="SQA48" s="47"/>
      <c r="SQB48" s="62"/>
      <c r="SQC48" s="47"/>
      <c r="SQD48" s="48"/>
      <c r="SQE48" s="47"/>
      <c r="SQF48" s="62"/>
      <c r="SQG48" s="47"/>
      <c r="SQH48" s="48"/>
      <c r="SQI48" s="47"/>
      <c r="SQJ48" s="62"/>
      <c r="SQK48" s="47"/>
      <c r="SQL48" s="48"/>
      <c r="SQM48" s="47"/>
      <c r="SQN48" s="62"/>
      <c r="SQO48" s="47"/>
      <c r="SQP48" s="48"/>
      <c r="SQQ48" s="47"/>
      <c r="SQR48" s="62"/>
      <c r="SQS48" s="47"/>
      <c r="SQT48" s="48"/>
      <c r="SQU48" s="47"/>
      <c r="SQV48" s="62"/>
      <c r="SQW48" s="47"/>
      <c r="SQX48" s="48"/>
      <c r="SQY48" s="47"/>
      <c r="SQZ48" s="62"/>
      <c r="SRA48" s="47"/>
      <c r="SRB48" s="48"/>
      <c r="SRC48" s="47"/>
      <c r="SRD48" s="62"/>
      <c r="SRE48" s="47"/>
      <c r="SRF48" s="48"/>
      <c r="SRG48" s="47"/>
      <c r="SRH48" s="62"/>
      <c r="SRI48" s="47"/>
      <c r="SRJ48" s="48"/>
      <c r="SRK48" s="47"/>
      <c r="SRL48" s="62"/>
      <c r="SRM48" s="47"/>
      <c r="SRN48" s="48"/>
      <c r="SRO48" s="47"/>
      <c r="SRP48" s="62"/>
      <c r="SRQ48" s="47"/>
      <c r="SRR48" s="48"/>
      <c r="SRS48" s="47"/>
      <c r="SRT48" s="62"/>
      <c r="SRU48" s="47"/>
      <c r="SRV48" s="48"/>
      <c r="SRW48" s="47"/>
      <c r="SRX48" s="62"/>
      <c r="SRY48" s="47"/>
      <c r="SRZ48" s="48"/>
      <c r="SSA48" s="47"/>
      <c r="SSB48" s="62"/>
      <c r="SSC48" s="47"/>
      <c r="SSD48" s="48"/>
      <c r="SSE48" s="47"/>
      <c r="SSF48" s="62"/>
      <c r="SSG48" s="47"/>
      <c r="SSH48" s="48"/>
      <c r="SSI48" s="47"/>
      <c r="SSJ48" s="62"/>
      <c r="SSK48" s="47"/>
      <c r="SSL48" s="48"/>
      <c r="SSM48" s="47"/>
      <c r="SSN48" s="62"/>
      <c r="SSO48" s="47"/>
      <c r="SSP48" s="48"/>
      <c r="SSQ48" s="47"/>
      <c r="SSR48" s="62"/>
      <c r="SSS48" s="47"/>
      <c r="SST48" s="48"/>
      <c r="SSU48" s="47"/>
      <c r="SSV48" s="62"/>
      <c r="SSW48" s="47"/>
      <c r="SSX48" s="48"/>
      <c r="SSY48" s="47"/>
      <c r="SSZ48" s="62"/>
      <c r="STA48" s="47"/>
      <c r="STB48" s="48"/>
      <c r="STC48" s="47"/>
      <c r="STD48" s="62"/>
      <c r="STE48" s="47"/>
      <c r="STF48" s="48"/>
      <c r="STG48" s="47"/>
      <c r="STH48" s="62"/>
      <c r="STI48" s="47"/>
      <c r="STJ48" s="48"/>
      <c r="STK48" s="47"/>
      <c r="STL48" s="62"/>
      <c r="STM48" s="47"/>
      <c r="STN48" s="48"/>
      <c r="STO48" s="47"/>
      <c r="STP48" s="62"/>
      <c r="STQ48" s="47"/>
      <c r="STR48" s="48"/>
      <c r="STS48" s="47"/>
      <c r="STT48" s="62"/>
      <c r="STU48" s="47"/>
      <c r="STV48" s="48"/>
      <c r="STW48" s="47"/>
      <c r="STX48" s="62"/>
      <c r="STY48" s="47"/>
      <c r="STZ48" s="48"/>
      <c r="SUA48" s="47"/>
      <c r="SUB48" s="62"/>
      <c r="SUC48" s="47"/>
      <c r="SUD48" s="48"/>
      <c r="SUE48" s="47"/>
      <c r="SUF48" s="62"/>
      <c r="SUG48" s="47"/>
      <c r="SUH48" s="48"/>
      <c r="SUI48" s="47"/>
      <c r="SUJ48" s="62"/>
      <c r="SUK48" s="47"/>
      <c r="SUL48" s="48"/>
      <c r="SUM48" s="47"/>
      <c r="SUN48" s="62"/>
      <c r="SUO48" s="47"/>
      <c r="SUP48" s="48"/>
      <c r="SUQ48" s="47"/>
      <c r="SUR48" s="62"/>
      <c r="SUS48" s="47"/>
      <c r="SUT48" s="48"/>
      <c r="SUU48" s="47"/>
      <c r="SUV48" s="62"/>
      <c r="SUW48" s="47"/>
      <c r="SUX48" s="48"/>
      <c r="SUY48" s="47"/>
      <c r="SUZ48" s="62"/>
      <c r="SVA48" s="47"/>
      <c r="SVB48" s="48"/>
      <c r="SVC48" s="47"/>
      <c r="SVD48" s="62"/>
      <c r="SVE48" s="47"/>
      <c r="SVF48" s="48"/>
      <c r="SVG48" s="47"/>
      <c r="SVH48" s="62"/>
      <c r="SVI48" s="47"/>
      <c r="SVJ48" s="48"/>
      <c r="SVK48" s="47"/>
      <c r="SVL48" s="62"/>
      <c r="SVM48" s="47"/>
      <c r="SVN48" s="48"/>
      <c r="SVO48" s="47"/>
      <c r="SVP48" s="62"/>
      <c r="SVQ48" s="47"/>
      <c r="SVR48" s="48"/>
      <c r="SVS48" s="47"/>
      <c r="SVT48" s="62"/>
      <c r="SVU48" s="47"/>
      <c r="SVV48" s="48"/>
      <c r="SVW48" s="47"/>
      <c r="SVX48" s="62"/>
      <c r="SVY48" s="47"/>
      <c r="SVZ48" s="48"/>
      <c r="SWA48" s="47"/>
      <c r="SWB48" s="62"/>
      <c r="SWC48" s="47"/>
      <c r="SWD48" s="48"/>
      <c r="SWE48" s="47"/>
      <c r="SWF48" s="62"/>
      <c r="SWG48" s="47"/>
      <c r="SWH48" s="48"/>
      <c r="SWI48" s="47"/>
      <c r="SWJ48" s="62"/>
      <c r="SWK48" s="47"/>
      <c r="SWL48" s="48"/>
      <c r="SWM48" s="47"/>
      <c r="SWN48" s="62"/>
      <c r="SWO48" s="47"/>
      <c r="SWP48" s="48"/>
      <c r="SWQ48" s="47"/>
      <c r="SWR48" s="62"/>
      <c r="SWS48" s="47"/>
      <c r="SWT48" s="48"/>
      <c r="SWU48" s="47"/>
      <c r="SWV48" s="62"/>
      <c r="SWW48" s="47"/>
      <c r="SWX48" s="48"/>
      <c r="SWY48" s="47"/>
      <c r="SWZ48" s="62"/>
      <c r="SXA48" s="47"/>
      <c r="SXB48" s="48"/>
      <c r="SXC48" s="47"/>
      <c r="SXD48" s="62"/>
      <c r="SXE48" s="47"/>
      <c r="SXF48" s="48"/>
      <c r="SXG48" s="47"/>
      <c r="SXH48" s="62"/>
      <c r="SXI48" s="47"/>
      <c r="SXJ48" s="48"/>
      <c r="SXK48" s="47"/>
      <c r="SXL48" s="62"/>
      <c r="SXM48" s="47"/>
      <c r="SXN48" s="48"/>
      <c r="SXO48" s="47"/>
      <c r="SXP48" s="62"/>
      <c r="SXQ48" s="47"/>
      <c r="SXR48" s="48"/>
      <c r="SXS48" s="47"/>
      <c r="SXT48" s="62"/>
      <c r="SXU48" s="47"/>
      <c r="SXV48" s="48"/>
      <c r="SXW48" s="47"/>
      <c r="SXX48" s="62"/>
      <c r="SXY48" s="47"/>
      <c r="SXZ48" s="48"/>
      <c r="SYA48" s="47"/>
      <c r="SYB48" s="62"/>
      <c r="SYC48" s="47"/>
      <c r="SYD48" s="48"/>
      <c r="SYE48" s="47"/>
      <c r="SYF48" s="62"/>
      <c r="SYG48" s="47"/>
      <c r="SYH48" s="48"/>
      <c r="SYI48" s="47"/>
      <c r="SYJ48" s="62"/>
      <c r="SYK48" s="47"/>
      <c r="SYL48" s="48"/>
      <c r="SYM48" s="47"/>
      <c r="SYN48" s="62"/>
      <c r="SYO48" s="47"/>
      <c r="SYP48" s="48"/>
      <c r="SYQ48" s="47"/>
      <c r="SYR48" s="62"/>
      <c r="SYS48" s="47"/>
      <c r="SYT48" s="48"/>
      <c r="SYU48" s="47"/>
      <c r="SYV48" s="62"/>
      <c r="SYW48" s="47"/>
      <c r="SYX48" s="48"/>
      <c r="SYY48" s="47"/>
      <c r="SYZ48" s="62"/>
      <c r="SZA48" s="47"/>
      <c r="SZB48" s="48"/>
      <c r="SZC48" s="47"/>
      <c r="SZD48" s="62"/>
      <c r="SZE48" s="47"/>
      <c r="SZF48" s="48"/>
      <c r="SZG48" s="47"/>
      <c r="SZH48" s="62"/>
      <c r="SZI48" s="47"/>
      <c r="SZJ48" s="48"/>
      <c r="SZK48" s="47"/>
      <c r="SZL48" s="62"/>
      <c r="SZM48" s="47"/>
      <c r="SZN48" s="48"/>
      <c r="SZO48" s="47"/>
      <c r="SZP48" s="62"/>
      <c r="SZQ48" s="47"/>
      <c r="SZR48" s="48"/>
      <c r="SZS48" s="47"/>
      <c r="SZT48" s="62"/>
      <c r="SZU48" s="47"/>
      <c r="SZV48" s="48"/>
      <c r="SZW48" s="47"/>
      <c r="SZX48" s="62"/>
      <c r="SZY48" s="47"/>
      <c r="SZZ48" s="48"/>
      <c r="TAA48" s="47"/>
      <c r="TAB48" s="62"/>
      <c r="TAC48" s="47"/>
      <c r="TAD48" s="48"/>
      <c r="TAE48" s="47"/>
      <c r="TAF48" s="62"/>
      <c r="TAG48" s="47"/>
      <c r="TAH48" s="48"/>
      <c r="TAI48" s="47"/>
      <c r="TAJ48" s="62"/>
      <c r="TAK48" s="47"/>
      <c r="TAL48" s="48"/>
      <c r="TAM48" s="47"/>
      <c r="TAN48" s="62"/>
      <c r="TAO48" s="47"/>
      <c r="TAP48" s="48"/>
      <c r="TAQ48" s="47"/>
      <c r="TAR48" s="62"/>
      <c r="TAS48" s="47"/>
      <c r="TAT48" s="48"/>
      <c r="TAU48" s="47"/>
      <c r="TAV48" s="62"/>
      <c r="TAW48" s="47"/>
      <c r="TAX48" s="48"/>
      <c r="TAY48" s="47"/>
      <c r="TAZ48" s="62"/>
      <c r="TBA48" s="47"/>
      <c r="TBB48" s="48"/>
      <c r="TBC48" s="47"/>
      <c r="TBD48" s="62"/>
      <c r="TBE48" s="47"/>
      <c r="TBF48" s="48"/>
      <c r="TBG48" s="47"/>
      <c r="TBH48" s="62"/>
      <c r="TBI48" s="47"/>
      <c r="TBJ48" s="48"/>
      <c r="TBK48" s="47"/>
      <c r="TBL48" s="62"/>
      <c r="TBM48" s="47"/>
      <c r="TBN48" s="48"/>
      <c r="TBO48" s="47"/>
      <c r="TBP48" s="62"/>
      <c r="TBQ48" s="47"/>
      <c r="TBR48" s="48"/>
      <c r="TBS48" s="47"/>
      <c r="TBT48" s="62"/>
      <c r="TBU48" s="47"/>
      <c r="TBV48" s="48"/>
      <c r="TBW48" s="47"/>
      <c r="TBX48" s="62"/>
      <c r="TBY48" s="47"/>
      <c r="TBZ48" s="48"/>
      <c r="TCA48" s="47"/>
      <c r="TCB48" s="62"/>
      <c r="TCC48" s="47"/>
      <c r="TCD48" s="48"/>
      <c r="TCE48" s="47"/>
      <c r="TCF48" s="62"/>
      <c r="TCG48" s="47"/>
      <c r="TCH48" s="48"/>
      <c r="TCI48" s="47"/>
      <c r="TCJ48" s="62"/>
      <c r="TCK48" s="47"/>
      <c r="TCL48" s="48"/>
      <c r="TCM48" s="47"/>
      <c r="TCN48" s="62"/>
      <c r="TCO48" s="47"/>
      <c r="TCP48" s="48"/>
      <c r="TCQ48" s="47"/>
      <c r="TCR48" s="62"/>
      <c r="TCS48" s="47"/>
      <c r="TCT48" s="48"/>
      <c r="TCU48" s="47"/>
      <c r="TCV48" s="62"/>
      <c r="TCW48" s="47"/>
      <c r="TCX48" s="48"/>
      <c r="TCY48" s="47"/>
      <c r="TCZ48" s="62"/>
      <c r="TDA48" s="47"/>
      <c r="TDB48" s="48"/>
      <c r="TDC48" s="47"/>
      <c r="TDD48" s="62"/>
      <c r="TDE48" s="47"/>
      <c r="TDF48" s="48"/>
      <c r="TDG48" s="47"/>
      <c r="TDH48" s="62"/>
      <c r="TDI48" s="47"/>
      <c r="TDJ48" s="48"/>
      <c r="TDK48" s="47"/>
      <c r="TDL48" s="62"/>
      <c r="TDM48" s="47"/>
      <c r="TDN48" s="48"/>
      <c r="TDO48" s="47"/>
      <c r="TDP48" s="62"/>
      <c r="TDQ48" s="47"/>
      <c r="TDR48" s="48"/>
      <c r="TDS48" s="47"/>
      <c r="TDT48" s="62"/>
      <c r="TDU48" s="47"/>
      <c r="TDV48" s="48"/>
      <c r="TDW48" s="47"/>
      <c r="TDX48" s="62"/>
      <c r="TDY48" s="47"/>
      <c r="TDZ48" s="48"/>
      <c r="TEA48" s="47"/>
      <c r="TEB48" s="62"/>
      <c r="TEC48" s="47"/>
      <c r="TED48" s="48"/>
      <c r="TEE48" s="47"/>
      <c r="TEF48" s="62"/>
      <c r="TEG48" s="47"/>
      <c r="TEH48" s="48"/>
      <c r="TEI48" s="47"/>
      <c r="TEJ48" s="62"/>
      <c r="TEK48" s="47"/>
      <c r="TEL48" s="48"/>
      <c r="TEM48" s="47"/>
      <c r="TEN48" s="62"/>
      <c r="TEO48" s="47"/>
      <c r="TEP48" s="48"/>
      <c r="TEQ48" s="47"/>
      <c r="TER48" s="62"/>
      <c r="TES48" s="47"/>
      <c r="TET48" s="48"/>
      <c r="TEU48" s="47"/>
      <c r="TEV48" s="62"/>
      <c r="TEW48" s="47"/>
      <c r="TEX48" s="48"/>
      <c r="TEY48" s="47"/>
      <c r="TEZ48" s="62"/>
      <c r="TFA48" s="47"/>
      <c r="TFB48" s="48"/>
      <c r="TFC48" s="47"/>
      <c r="TFD48" s="62"/>
      <c r="TFE48" s="47"/>
      <c r="TFF48" s="48"/>
      <c r="TFG48" s="47"/>
      <c r="TFH48" s="62"/>
      <c r="TFI48" s="47"/>
      <c r="TFJ48" s="48"/>
      <c r="TFK48" s="47"/>
      <c r="TFL48" s="62"/>
      <c r="TFM48" s="47"/>
      <c r="TFN48" s="48"/>
      <c r="TFO48" s="47"/>
      <c r="TFP48" s="62"/>
      <c r="TFQ48" s="47"/>
      <c r="TFR48" s="48"/>
      <c r="TFS48" s="47"/>
      <c r="TFT48" s="62"/>
      <c r="TFU48" s="47"/>
      <c r="TFV48" s="48"/>
      <c r="TFW48" s="47"/>
      <c r="TFX48" s="62"/>
      <c r="TFY48" s="47"/>
      <c r="TFZ48" s="48"/>
      <c r="TGA48" s="47"/>
      <c r="TGB48" s="62"/>
      <c r="TGC48" s="47"/>
      <c r="TGD48" s="48"/>
      <c r="TGE48" s="47"/>
      <c r="TGF48" s="62"/>
      <c r="TGG48" s="47"/>
      <c r="TGH48" s="48"/>
      <c r="TGI48" s="47"/>
      <c r="TGJ48" s="62"/>
      <c r="TGK48" s="47"/>
      <c r="TGL48" s="48"/>
      <c r="TGM48" s="47"/>
      <c r="TGN48" s="62"/>
      <c r="TGO48" s="47"/>
      <c r="TGP48" s="48"/>
      <c r="TGQ48" s="47"/>
      <c r="TGR48" s="62"/>
      <c r="TGS48" s="47"/>
      <c r="TGT48" s="48"/>
      <c r="TGU48" s="47"/>
      <c r="TGV48" s="62"/>
      <c r="TGW48" s="47"/>
      <c r="TGX48" s="48"/>
      <c r="TGY48" s="47"/>
      <c r="TGZ48" s="62"/>
      <c r="THA48" s="47"/>
      <c r="THB48" s="48"/>
      <c r="THC48" s="47"/>
      <c r="THD48" s="62"/>
      <c r="THE48" s="47"/>
      <c r="THF48" s="48"/>
      <c r="THG48" s="47"/>
      <c r="THH48" s="62"/>
      <c r="THI48" s="47"/>
      <c r="THJ48" s="48"/>
      <c r="THK48" s="47"/>
      <c r="THL48" s="62"/>
      <c r="THM48" s="47"/>
      <c r="THN48" s="48"/>
      <c r="THO48" s="47"/>
      <c r="THP48" s="62"/>
      <c r="THQ48" s="47"/>
      <c r="THR48" s="48"/>
      <c r="THS48" s="47"/>
      <c r="THT48" s="62"/>
      <c r="THU48" s="47"/>
      <c r="THV48" s="48"/>
      <c r="THW48" s="47"/>
      <c r="THX48" s="62"/>
      <c r="THY48" s="47"/>
      <c r="THZ48" s="48"/>
      <c r="TIA48" s="47"/>
      <c r="TIB48" s="62"/>
      <c r="TIC48" s="47"/>
      <c r="TID48" s="48"/>
      <c r="TIE48" s="47"/>
      <c r="TIF48" s="62"/>
      <c r="TIG48" s="47"/>
      <c r="TIH48" s="48"/>
      <c r="TII48" s="47"/>
      <c r="TIJ48" s="62"/>
      <c r="TIK48" s="47"/>
      <c r="TIL48" s="48"/>
      <c r="TIM48" s="47"/>
      <c r="TIN48" s="62"/>
      <c r="TIO48" s="47"/>
      <c r="TIP48" s="48"/>
      <c r="TIQ48" s="47"/>
      <c r="TIR48" s="62"/>
      <c r="TIS48" s="47"/>
      <c r="TIT48" s="48"/>
      <c r="TIU48" s="47"/>
      <c r="TIV48" s="62"/>
      <c r="TIW48" s="47"/>
      <c r="TIX48" s="48"/>
      <c r="TIY48" s="47"/>
      <c r="TIZ48" s="62"/>
      <c r="TJA48" s="47"/>
      <c r="TJB48" s="48"/>
      <c r="TJC48" s="47"/>
      <c r="TJD48" s="62"/>
      <c r="TJE48" s="47"/>
      <c r="TJF48" s="48"/>
      <c r="TJG48" s="47"/>
      <c r="TJH48" s="62"/>
      <c r="TJI48" s="47"/>
      <c r="TJJ48" s="48"/>
      <c r="TJK48" s="47"/>
      <c r="TJL48" s="62"/>
      <c r="TJM48" s="47"/>
      <c r="TJN48" s="48"/>
      <c r="TJO48" s="47"/>
      <c r="TJP48" s="62"/>
      <c r="TJQ48" s="47"/>
      <c r="TJR48" s="48"/>
      <c r="TJS48" s="47"/>
      <c r="TJT48" s="62"/>
      <c r="TJU48" s="47"/>
      <c r="TJV48" s="48"/>
      <c r="TJW48" s="47"/>
      <c r="TJX48" s="62"/>
      <c r="TJY48" s="47"/>
      <c r="TJZ48" s="48"/>
      <c r="TKA48" s="47"/>
      <c r="TKB48" s="62"/>
      <c r="TKC48" s="47"/>
      <c r="TKD48" s="48"/>
      <c r="TKE48" s="47"/>
      <c r="TKF48" s="62"/>
      <c r="TKG48" s="47"/>
      <c r="TKH48" s="48"/>
      <c r="TKI48" s="47"/>
      <c r="TKJ48" s="62"/>
      <c r="TKK48" s="47"/>
      <c r="TKL48" s="48"/>
      <c r="TKM48" s="47"/>
      <c r="TKN48" s="62"/>
      <c r="TKO48" s="47"/>
      <c r="TKP48" s="48"/>
      <c r="TKQ48" s="47"/>
      <c r="TKR48" s="62"/>
      <c r="TKS48" s="47"/>
      <c r="TKT48" s="48"/>
      <c r="TKU48" s="47"/>
      <c r="TKV48" s="62"/>
      <c r="TKW48" s="47"/>
      <c r="TKX48" s="48"/>
      <c r="TKY48" s="47"/>
      <c r="TKZ48" s="62"/>
      <c r="TLA48" s="47"/>
      <c r="TLB48" s="48"/>
      <c r="TLC48" s="47"/>
      <c r="TLD48" s="62"/>
      <c r="TLE48" s="47"/>
      <c r="TLF48" s="48"/>
      <c r="TLG48" s="47"/>
      <c r="TLH48" s="62"/>
      <c r="TLI48" s="47"/>
      <c r="TLJ48" s="48"/>
      <c r="TLK48" s="47"/>
      <c r="TLL48" s="62"/>
      <c r="TLM48" s="47"/>
      <c r="TLN48" s="48"/>
      <c r="TLO48" s="47"/>
      <c r="TLP48" s="62"/>
      <c r="TLQ48" s="47"/>
      <c r="TLR48" s="48"/>
      <c r="TLS48" s="47"/>
      <c r="TLT48" s="62"/>
      <c r="TLU48" s="47"/>
      <c r="TLV48" s="48"/>
      <c r="TLW48" s="47"/>
      <c r="TLX48" s="62"/>
      <c r="TLY48" s="47"/>
      <c r="TLZ48" s="48"/>
      <c r="TMA48" s="47"/>
      <c r="TMB48" s="62"/>
      <c r="TMC48" s="47"/>
      <c r="TMD48" s="48"/>
      <c r="TME48" s="47"/>
      <c r="TMF48" s="62"/>
      <c r="TMG48" s="47"/>
      <c r="TMH48" s="48"/>
      <c r="TMI48" s="47"/>
      <c r="TMJ48" s="62"/>
      <c r="TMK48" s="47"/>
      <c r="TML48" s="48"/>
      <c r="TMM48" s="47"/>
      <c r="TMN48" s="62"/>
      <c r="TMO48" s="47"/>
      <c r="TMP48" s="48"/>
      <c r="TMQ48" s="47"/>
      <c r="TMR48" s="62"/>
      <c r="TMS48" s="47"/>
      <c r="TMT48" s="48"/>
      <c r="TMU48" s="47"/>
      <c r="TMV48" s="62"/>
      <c r="TMW48" s="47"/>
      <c r="TMX48" s="48"/>
      <c r="TMY48" s="47"/>
      <c r="TMZ48" s="62"/>
      <c r="TNA48" s="47"/>
      <c r="TNB48" s="48"/>
      <c r="TNC48" s="47"/>
      <c r="TND48" s="62"/>
      <c r="TNE48" s="47"/>
      <c r="TNF48" s="48"/>
      <c r="TNG48" s="47"/>
      <c r="TNH48" s="62"/>
      <c r="TNI48" s="47"/>
      <c r="TNJ48" s="48"/>
      <c r="TNK48" s="47"/>
      <c r="TNL48" s="62"/>
      <c r="TNM48" s="47"/>
      <c r="TNN48" s="48"/>
      <c r="TNO48" s="47"/>
      <c r="TNP48" s="62"/>
      <c r="TNQ48" s="47"/>
      <c r="TNR48" s="48"/>
      <c r="TNS48" s="47"/>
      <c r="TNT48" s="62"/>
      <c r="TNU48" s="47"/>
      <c r="TNV48" s="48"/>
      <c r="TNW48" s="47"/>
      <c r="TNX48" s="62"/>
      <c r="TNY48" s="47"/>
      <c r="TNZ48" s="48"/>
      <c r="TOA48" s="47"/>
      <c r="TOB48" s="62"/>
      <c r="TOC48" s="47"/>
      <c r="TOD48" s="48"/>
      <c r="TOE48" s="47"/>
      <c r="TOF48" s="62"/>
      <c r="TOG48" s="47"/>
      <c r="TOH48" s="48"/>
      <c r="TOI48" s="47"/>
      <c r="TOJ48" s="62"/>
      <c r="TOK48" s="47"/>
      <c r="TOL48" s="48"/>
      <c r="TOM48" s="47"/>
      <c r="TON48" s="62"/>
      <c r="TOO48" s="47"/>
      <c r="TOP48" s="48"/>
      <c r="TOQ48" s="47"/>
      <c r="TOR48" s="62"/>
      <c r="TOS48" s="47"/>
      <c r="TOT48" s="48"/>
      <c r="TOU48" s="47"/>
      <c r="TOV48" s="62"/>
      <c r="TOW48" s="47"/>
      <c r="TOX48" s="48"/>
      <c r="TOY48" s="47"/>
      <c r="TOZ48" s="62"/>
      <c r="TPA48" s="47"/>
      <c r="TPB48" s="48"/>
      <c r="TPC48" s="47"/>
      <c r="TPD48" s="62"/>
      <c r="TPE48" s="47"/>
      <c r="TPF48" s="48"/>
      <c r="TPG48" s="47"/>
      <c r="TPH48" s="62"/>
      <c r="TPI48" s="47"/>
      <c r="TPJ48" s="48"/>
      <c r="TPK48" s="47"/>
      <c r="TPL48" s="62"/>
      <c r="TPM48" s="47"/>
      <c r="TPN48" s="48"/>
      <c r="TPO48" s="47"/>
      <c r="TPP48" s="62"/>
      <c r="TPQ48" s="47"/>
      <c r="TPR48" s="48"/>
      <c r="TPS48" s="47"/>
      <c r="TPT48" s="62"/>
      <c r="TPU48" s="47"/>
      <c r="TPV48" s="48"/>
      <c r="TPW48" s="47"/>
      <c r="TPX48" s="62"/>
      <c r="TPY48" s="47"/>
      <c r="TPZ48" s="48"/>
      <c r="TQA48" s="47"/>
      <c r="TQB48" s="62"/>
      <c r="TQC48" s="47"/>
      <c r="TQD48" s="48"/>
      <c r="TQE48" s="47"/>
      <c r="TQF48" s="62"/>
      <c r="TQG48" s="47"/>
      <c r="TQH48" s="48"/>
      <c r="TQI48" s="47"/>
      <c r="TQJ48" s="62"/>
      <c r="TQK48" s="47"/>
      <c r="TQL48" s="48"/>
      <c r="TQM48" s="47"/>
      <c r="TQN48" s="62"/>
      <c r="TQO48" s="47"/>
      <c r="TQP48" s="48"/>
      <c r="TQQ48" s="47"/>
      <c r="TQR48" s="62"/>
      <c r="TQS48" s="47"/>
      <c r="TQT48" s="48"/>
      <c r="TQU48" s="47"/>
      <c r="TQV48" s="62"/>
      <c r="TQW48" s="47"/>
      <c r="TQX48" s="48"/>
      <c r="TQY48" s="47"/>
      <c r="TQZ48" s="62"/>
      <c r="TRA48" s="47"/>
      <c r="TRB48" s="48"/>
      <c r="TRC48" s="47"/>
      <c r="TRD48" s="62"/>
      <c r="TRE48" s="47"/>
      <c r="TRF48" s="48"/>
      <c r="TRG48" s="47"/>
      <c r="TRH48" s="62"/>
      <c r="TRI48" s="47"/>
      <c r="TRJ48" s="48"/>
      <c r="TRK48" s="47"/>
      <c r="TRL48" s="62"/>
      <c r="TRM48" s="47"/>
      <c r="TRN48" s="48"/>
      <c r="TRO48" s="47"/>
      <c r="TRP48" s="62"/>
      <c r="TRQ48" s="47"/>
      <c r="TRR48" s="48"/>
      <c r="TRS48" s="47"/>
      <c r="TRT48" s="62"/>
      <c r="TRU48" s="47"/>
      <c r="TRV48" s="48"/>
      <c r="TRW48" s="47"/>
      <c r="TRX48" s="62"/>
      <c r="TRY48" s="47"/>
      <c r="TRZ48" s="48"/>
      <c r="TSA48" s="47"/>
      <c r="TSB48" s="62"/>
      <c r="TSC48" s="47"/>
      <c r="TSD48" s="48"/>
      <c r="TSE48" s="47"/>
      <c r="TSF48" s="62"/>
      <c r="TSG48" s="47"/>
      <c r="TSH48" s="48"/>
      <c r="TSI48" s="47"/>
      <c r="TSJ48" s="62"/>
      <c r="TSK48" s="47"/>
      <c r="TSL48" s="48"/>
      <c r="TSM48" s="47"/>
      <c r="TSN48" s="62"/>
      <c r="TSO48" s="47"/>
      <c r="TSP48" s="48"/>
      <c r="TSQ48" s="47"/>
      <c r="TSR48" s="62"/>
      <c r="TSS48" s="47"/>
      <c r="TST48" s="48"/>
      <c r="TSU48" s="47"/>
      <c r="TSV48" s="62"/>
      <c r="TSW48" s="47"/>
      <c r="TSX48" s="48"/>
      <c r="TSY48" s="47"/>
      <c r="TSZ48" s="62"/>
      <c r="TTA48" s="47"/>
      <c r="TTB48" s="48"/>
      <c r="TTC48" s="47"/>
      <c r="TTD48" s="62"/>
      <c r="TTE48" s="47"/>
      <c r="TTF48" s="48"/>
      <c r="TTG48" s="47"/>
      <c r="TTH48" s="62"/>
      <c r="TTI48" s="47"/>
      <c r="TTJ48" s="48"/>
      <c r="TTK48" s="47"/>
      <c r="TTL48" s="62"/>
      <c r="TTM48" s="47"/>
      <c r="TTN48" s="48"/>
      <c r="TTO48" s="47"/>
      <c r="TTP48" s="62"/>
      <c r="TTQ48" s="47"/>
      <c r="TTR48" s="48"/>
      <c r="TTS48" s="47"/>
      <c r="TTT48" s="62"/>
      <c r="TTU48" s="47"/>
      <c r="TTV48" s="48"/>
      <c r="TTW48" s="47"/>
      <c r="TTX48" s="62"/>
      <c r="TTY48" s="47"/>
      <c r="TTZ48" s="48"/>
      <c r="TUA48" s="47"/>
      <c r="TUB48" s="62"/>
      <c r="TUC48" s="47"/>
      <c r="TUD48" s="48"/>
      <c r="TUE48" s="47"/>
      <c r="TUF48" s="62"/>
      <c r="TUG48" s="47"/>
      <c r="TUH48" s="48"/>
      <c r="TUI48" s="47"/>
      <c r="TUJ48" s="62"/>
      <c r="TUK48" s="47"/>
      <c r="TUL48" s="48"/>
      <c r="TUM48" s="47"/>
      <c r="TUN48" s="62"/>
      <c r="TUO48" s="47"/>
      <c r="TUP48" s="48"/>
      <c r="TUQ48" s="47"/>
      <c r="TUR48" s="62"/>
      <c r="TUS48" s="47"/>
      <c r="TUT48" s="48"/>
      <c r="TUU48" s="47"/>
      <c r="TUV48" s="62"/>
      <c r="TUW48" s="47"/>
      <c r="TUX48" s="48"/>
      <c r="TUY48" s="47"/>
      <c r="TUZ48" s="62"/>
      <c r="TVA48" s="47"/>
      <c r="TVB48" s="48"/>
      <c r="TVC48" s="47"/>
      <c r="TVD48" s="62"/>
      <c r="TVE48" s="47"/>
      <c r="TVF48" s="48"/>
      <c r="TVG48" s="47"/>
      <c r="TVH48" s="62"/>
      <c r="TVI48" s="47"/>
      <c r="TVJ48" s="48"/>
      <c r="TVK48" s="47"/>
      <c r="TVL48" s="62"/>
      <c r="TVM48" s="47"/>
      <c r="TVN48" s="48"/>
      <c r="TVO48" s="47"/>
      <c r="TVP48" s="62"/>
      <c r="TVQ48" s="47"/>
      <c r="TVR48" s="48"/>
      <c r="TVS48" s="47"/>
      <c r="TVT48" s="62"/>
      <c r="TVU48" s="47"/>
      <c r="TVV48" s="48"/>
      <c r="TVW48" s="47"/>
      <c r="TVX48" s="62"/>
      <c r="TVY48" s="47"/>
      <c r="TVZ48" s="48"/>
      <c r="TWA48" s="47"/>
      <c r="TWB48" s="62"/>
      <c r="TWC48" s="47"/>
      <c r="TWD48" s="48"/>
      <c r="TWE48" s="47"/>
      <c r="TWF48" s="62"/>
      <c r="TWG48" s="47"/>
      <c r="TWH48" s="48"/>
      <c r="TWI48" s="47"/>
      <c r="TWJ48" s="62"/>
      <c r="TWK48" s="47"/>
      <c r="TWL48" s="48"/>
      <c r="TWM48" s="47"/>
      <c r="TWN48" s="62"/>
      <c r="TWO48" s="47"/>
      <c r="TWP48" s="48"/>
      <c r="TWQ48" s="47"/>
      <c r="TWR48" s="62"/>
      <c r="TWS48" s="47"/>
      <c r="TWT48" s="48"/>
      <c r="TWU48" s="47"/>
      <c r="TWV48" s="62"/>
      <c r="TWW48" s="47"/>
      <c r="TWX48" s="48"/>
      <c r="TWY48" s="47"/>
      <c r="TWZ48" s="62"/>
      <c r="TXA48" s="47"/>
      <c r="TXB48" s="48"/>
      <c r="TXC48" s="47"/>
      <c r="TXD48" s="62"/>
      <c r="TXE48" s="47"/>
      <c r="TXF48" s="48"/>
      <c r="TXG48" s="47"/>
      <c r="TXH48" s="62"/>
      <c r="TXI48" s="47"/>
      <c r="TXJ48" s="48"/>
      <c r="TXK48" s="47"/>
      <c r="TXL48" s="62"/>
      <c r="TXM48" s="47"/>
      <c r="TXN48" s="48"/>
      <c r="TXO48" s="47"/>
      <c r="TXP48" s="62"/>
      <c r="TXQ48" s="47"/>
      <c r="TXR48" s="48"/>
      <c r="TXS48" s="47"/>
      <c r="TXT48" s="62"/>
      <c r="TXU48" s="47"/>
      <c r="TXV48" s="48"/>
      <c r="TXW48" s="47"/>
      <c r="TXX48" s="62"/>
      <c r="TXY48" s="47"/>
      <c r="TXZ48" s="48"/>
      <c r="TYA48" s="47"/>
      <c r="TYB48" s="62"/>
      <c r="TYC48" s="47"/>
      <c r="TYD48" s="48"/>
      <c r="TYE48" s="47"/>
      <c r="TYF48" s="62"/>
      <c r="TYG48" s="47"/>
      <c r="TYH48" s="48"/>
      <c r="TYI48" s="47"/>
      <c r="TYJ48" s="62"/>
      <c r="TYK48" s="47"/>
      <c r="TYL48" s="48"/>
      <c r="TYM48" s="47"/>
      <c r="TYN48" s="62"/>
      <c r="TYO48" s="47"/>
      <c r="TYP48" s="48"/>
      <c r="TYQ48" s="47"/>
      <c r="TYR48" s="62"/>
      <c r="TYS48" s="47"/>
      <c r="TYT48" s="48"/>
      <c r="TYU48" s="47"/>
      <c r="TYV48" s="62"/>
      <c r="TYW48" s="47"/>
      <c r="TYX48" s="48"/>
      <c r="TYY48" s="47"/>
      <c r="TYZ48" s="62"/>
      <c r="TZA48" s="47"/>
      <c r="TZB48" s="48"/>
      <c r="TZC48" s="47"/>
      <c r="TZD48" s="62"/>
      <c r="TZE48" s="47"/>
      <c r="TZF48" s="48"/>
      <c r="TZG48" s="47"/>
      <c r="TZH48" s="62"/>
      <c r="TZI48" s="47"/>
      <c r="TZJ48" s="48"/>
      <c r="TZK48" s="47"/>
      <c r="TZL48" s="62"/>
      <c r="TZM48" s="47"/>
      <c r="TZN48" s="48"/>
      <c r="TZO48" s="47"/>
      <c r="TZP48" s="62"/>
      <c r="TZQ48" s="47"/>
      <c r="TZR48" s="48"/>
      <c r="TZS48" s="47"/>
      <c r="TZT48" s="62"/>
      <c r="TZU48" s="47"/>
      <c r="TZV48" s="48"/>
      <c r="TZW48" s="47"/>
      <c r="TZX48" s="62"/>
      <c r="TZY48" s="47"/>
      <c r="TZZ48" s="48"/>
      <c r="UAA48" s="47"/>
      <c r="UAB48" s="62"/>
      <c r="UAC48" s="47"/>
      <c r="UAD48" s="48"/>
      <c r="UAE48" s="47"/>
      <c r="UAF48" s="62"/>
      <c r="UAG48" s="47"/>
      <c r="UAH48" s="48"/>
      <c r="UAI48" s="47"/>
      <c r="UAJ48" s="62"/>
      <c r="UAK48" s="47"/>
      <c r="UAL48" s="48"/>
      <c r="UAM48" s="47"/>
      <c r="UAN48" s="62"/>
      <c r="UAO48" s="47"/>
      <c r="UAP48" s="48"/>
      <c r="UAQ48" s="47"/>
      <c r="UAR48" s="62"/>
      <c r="UAS48" s="47"/>
      <c r="UAT48" s="48"/>
      <c r="UAU48" s="47"/>
      <c r="UAV48" s="62"/>
      <c r="UAW48" s="47"/>
      <c r="UAX48" s="48"/>
      <c r="UAY48" s="47"/>
      <c r="UAZ48" s="62"/>
      <c r="UBA48" s="47"/>
      <c r="UBB48" s="48"/>
      <c r="UBC48" s="47"/>
      <c r="UBD48" s="62"/>
      <c r="UBE48" s="47"/>
      <c r="UBF48" s="48"/>
      <c r="UBG48" s="47"/>
      <c r="UBH48" s="62"/>
      <c r="UBI48" s="47"/>
      <c r="UBJ48" s="48"/>
      <c r="UBK48" s="47"/>
      <c r="UBL48" s="62"/>
      <c r="UBM48" s="47"/>
      <c r="UBN48" s="48"/>
      <c r="UBO48" s="47"/>
      <c r="UBP48" s="62"/>
      <c r="UBQ48" s="47"/>
      <c r="UBR48" s="48"/>
      <c r="UBS48" s="47"/>
      <c r="UBT48" s="62"/>
      <c r="UBU48" s="47"/>
      <c r="UBV48" s="48"/>
      <c r="UBW48" s="47"/>
      <c r="UBX48" s="62"/>
      <c r="UBY48" s="47"/>
      <c r="UBZ48" s="48"/>
      <c r="UCA48" s="47"/>
      <c r="UCB48" s="62"/>
      <c r="UCC48" s="47"/>
      <c r="UCD48" s="48"/>
      <c r="UCE48" s="47"/>
      <c r="UCF48" s="62"/>
      <c r="UCG48" s="47"/>
      <c r="UCH48" s="48"/>
      <c r="UCI48" s="47"/>
      <c r="UCJ48" s="62"/>
      <c r="UCK48" s="47"/>
      <c r="UCL48" s="48"/>
      <c r="UCM48" s="47"/>
      <c r="UCN48" s="62"/>
      <c r="UCO48" s="47"/>
      <c r="UCP48" s="48"/>
      <c r="UCQ48" s="47"/>
      <c r="UCR48" s="62"/>
      <c r="UCS48" s="47"/>
      <c r="UCT48" s="48"/>
      <c r="UCU48" s="47"/>
      <c r="UCV48" s="62"/>
      <c r="UCW48" s="47"/>
      <c r="UCX48" s="48"/>
      <c r="UCY48" s="47"/>
      <c r="UCZ48" s="62"/>
      <c r="UDA48" s="47"/>
      <c r="UDB48" s="48"/>
      <c r="UDC48" s="47"/>
      <c r="UDD48" s="62"/>
      <c r="UDE48" s="47"/>
      <c r="UDF48" s="48"/>
      <c r="UDG48" s="47"/>
      <c r="UDH48" s="62"/>
      <c r="UDI48" s="47"/>
      <c r="UDJ48" s="48"/>
      <c r="UDK48" s="47"/>
      <c r="UDL48" s="62"/>
      <c r="UDM48" s="47"/>
      <c r="UDN48" s="48"/>
      <c r="UDO48" s="47"/>
      <c r="UDP48" s="62"/>
      <c r="UDQ48" s="47"/>
      <c r="UDR48" s="48"/>
      <c r="UDS48" s="47"/>
      <c r="UDT48" s="62"/>
      <c r="UDU48" s="47"/>
      <c r="UDV48" s="48"/>
      <c r="UDW48" s="47"/>
      <c r="UDX48" s="62"/>
      <c r="UDY48" s="47"/>
      <c r="UDZ48" s="48"/>
      <c r="UEA48" s="47"/>
      <c r="UEB48" s="62"/>
      <c r="UEC48" s="47"/>
      <c r="UED48" s="48"/>
      <c r="UEE48" s="47"/>
      <c r="UEF48" s="62"/>
      <c r="UEG48" s="47"/>
      <c r="UEH48" s="48"/>
      <c r="UEI48" s="47"/>
      <c r="UEJ48" s="62"/>
      <c r="UEK48" s="47"/>
      <c r="UEL48" s="48"/>
      <c r="UEM48" s="47"/>
      <c r="UEN48" s="62"/>
      <c r="UEO48" s="47"/>
      <c r="UEP48" s="48"/>
      <c r="UEQ48" s="47"/>
      <c r="UER48" s="62"/>
      <c r="UES48" s="47"/>
      <c r="UET48" s="48"/>
      <c r="UEU48" s="47"/>
      <c r="UEV48" s="62"/>
      <c r="UEW48" s="47"/>
      <c r="UEX48" s="48"/>
      <c r="UEY48" s="47"/>
      <c r="UEZ48" s="62"/>
      <c r="UFA48" s="47"/>
      <c r="UFB48" s="48"/>
      <c r="UFC48" s="47"/>
      <c r="UFD48" s="62"/>
      <c r="UFE48" s="47"/>
      <c r="UFF48" s="48"/>
      <c r="UFG48" s="47"/>
      <c r="UFH48" s="62"/>
      <c r="UFI48" s="47"/>
      <c r="UFJ48" s="48"/>
      <c r="UFK48" s="47"/>
      <c r="UFL48" s="62"/>
      <c r="UFM48" s="47"/>
      <c r="UFN48" s="48"/>
      <c r="UFO48" s="47"/>
      <c r="UFP48" s="62"/>
      <c r="UFQ48" s="47"/>
      <c r="UFR48" s="48"/>
      <c r="UFS48" s="47"/>
      <c r="UFT48" s="62"/>
      <c r="UFU48" s="47"/>
      <c r="UFV48" s="48"/>
      <c r="UFW48" s="47"/>
      <c r="UFX48" s="62"/>
      <c r="UFY48" s="47"/>
      <c r="UFZ48" s="48"/>
      <c r="UGA48" s="47"/>
      <c r="UGB48" s="62"/>
      <c r="UGC48" s="47"/>
      <c r="UGD48" s="48"/>
      <c r="UGE48" s="47"/>
      <c r="UGF48" s="62"/>
      <c r="UGG48" s="47"/>
      <c r="UGH48" s="48"/>
      <c r="UGI48" s="47"/>
      <c r="UGJ48" s="62"/>
      <c r="UGK48" s="47"/>
      <c r="UGL48" s="48"/>
      <c r="UGM48" s="47"/>
      <c r="UGN48" s="62"/>
      <c r="UGO48" s="47"/>
      <c r="UGP48" s="48"/>
      <c r="UGQ48" s="47"/>
      <c r="UGR48" s="62"/>
      <c r="UGS48" s="47"/>
      <c r="UGT48" s="48"/>
      <c r="UGU48" s="47"/>
      <c r="UGV48" s="62"/>
      <c r="UGW48" s="47"/>
      <c r="UGX48" s="48"/>
      <c r="UGY48" s="47"/>
      <c r="UGZ48" s="62"/>
      <c r="UHA48" s="47"/>
      <c r="UHB48" s="48"/>
      <c r="UHC48" s="47"/>
      <c r="UHD48" s="62"/>
      <c r="UHE48" s="47"/>
      <c r="UHF48" s="48"/>
      <c r="UHG48" s="47"/>
      <c r="UHH48" s="62"/>
      <c r="UHI48" s="47"/>
      <c r="UHJ48" s="48"/>
      <c r="UHK48" s="47"/>
      <c r="UHL48" s="62"/>
      <c r="UHM48" s="47"/>
      <c r="UHN48" s="48"/>
      <c r="UHO48" s="47"/>
      <c r="UHP48" s="62"/>
      <c r="UHQ48" s="47"/>
      <c r="UHR48" s="48"/>
      <c r="UHS48" s="47"/>
      <c r="UHT48" s="62"/>
      <c r="UHU48" s="47"/>
      <c r="UHV48" s="48"/>
      <c r="UHW48" s="47"/>
      <c r="UHX48" s="62"/>
      <c r="UHY48" s="47"/>
      <c r="UHZ48" s="48"/>
      <c r="UIA48" s="47"/>
      <c r="UIB48" s="62"/>
      <c r="UIC48" s="47"/>
      <c r="UID48" s="48"/>
      <c r="UIE48" s="47"/>
      <c r="UIF48" s="62"/>
      <c r="UIG48" s="47"/>
      <c r="UIH48" s="48"/>
      <c r="UII48" s="47"/>
      <c r="UIJ48" s="62"/>
      <c r="UIK48" s="47"/>
      <c r="UIL48" s="48"/>
      <c r="UIM48" s="47"/>
      <c r="UIN48" s="62"/>
      <c r="UIO48" s="47"/>
      <c r="UIP48" s="48"/>
      <c r="UIQ48" s="47"/>
      <c r="UIR48" s="62"/>
      <c r="UIS48" s="47"/>
      <c r="UIT48" s="48"/>
      <c r="UIU48" s="47"/>
      <c r="UIV48" s="62"/>
      <c r="UIW48" s="47"/>
      <c r="UIX48" s="48"/>
      <c r="UIY48" s="47"/>
      <c r="UIZ48" s="62"/>
      <c r="UJA48" s="47"/>
      <c r="UJB48" s="48"/>
      <c r="UJC48" s="47"/>
      <c r="UJD48" s="62"/>
      <c r="UJE48" s="47"/>
      <c r="UJF48" s="48"/>
      <c r="UJG48" s="47"/>
      <c r="UJH48" s="62"/>
      <c r="UJI48" s="47"/>
      <c r="UJJ48" s="48"/>
      <c r="UJK48" s="47"/>
      <c r="UJL48" s="62"/>
      <c r="UJM48" s="47"/>
      <c r="UJN48" s="48"/>
      <c r="UJO48" s="47"/>
      <c r="UJP48" s="62"/>
      <c r="UJQ48" s="47"/>
      <c r="UJR48" s="48"/>
      <c r="UJS48" s="47"/>
      <c r="UJT48" s="62"/>
      <c r="UJU48" s="47"/>
      <c r="UJV48" s="48"/>
      <c r="UJW48" s="47"/>
      <c r="UJX48" s="62"/>
      <c r="UJY48" s="47"/>
      <c r="UJZ48" s="48"/>
      <c r="UKA48" s="47"/>
      <c r="UKB48" s="62"/>
      <c r="UKC48" s="47"/>
      <c r="UKD48" s="48"/>
      <c r="UKE48" s="47"/>
      <c r="UKF48" s="62"/>
      <c r="UKG48" s="47"/>
      <c r="UKH48" s="48"/>
      <c r="UKI48" s="47"/>
      <c r="UKJ48" s="62"/>
      <c r="UKK48" s="47"/>
      <c r="UKL48" s="48"/>
      <c r="UKM48" s="47"/>
      <c r="UKN48" s="62"/>
      <c r="UKO48" s="47"/>
      <c r="UKP48" s="48"/>
      <c r="UKQ48" s="47"/>
      <c r="UKR48" s="62"/>
      <c r="UKS48" s="47"/>
      <c r="UKT48" s="48"/>
      <c r="UKU48" s="47"/>
      <c r="UKV48" s="62"/>
      <c r="UKW48" s="47"/>
      <c r="UKX48" s="48"/>
      <c r="UKY48" s="47"/>
      <c r="UKZ48" s="62"/>
      <c r="ULA48" s="47"/>
      <c r="ULB48" s="48"/>
      <c r="ULC48" s="47"/>
      <c r="ULD48" s="62"/>
      <c r="ULE48" s="47"/>
      <c r="ULF48" s="48"/>
      <c r="ULG48" s="47"/>
      <c r="ULH48" s="62"/>
      <c r="ULI48" s="47"/>
      <c r="ULJ48" s="48"/>
      <c r="ULK48" s="47"/>
      <c r="ULL48" s="62"/>
      <c r="ULM48" s="47"/>
      <c r="ULN48" s="48"/>
      <c r="ULO48" s="47"/>
      <c r="ULP48" s="62"/>
      <c r="ULQ48" s="47"/>
      <c r="ULR48" s="48"/>
      <c r="ULS48" s="47"/>
      <c r="ULT48" s="62"/>
      <c r="ULU48" s="47"/>
      <c r="ULV48" s="48"/>
      <c r="ULW48" s="47"/>
      <c r="ULX48" s="62"/>
      <c r="ULY48" s="47"/>
      <c r="ULZ48" s="48"/>
      <c r="UMA48" s="47"/>
      <c r="UMB48" s="62"/>
      <c r="UMC48" s="47"/>
      <c r="UMD48" s="48"/>
      <c r="UME48" s="47"/>
      <c r="UMF48" s="62"/>
      <c r="UMG48" s="47"/>
      <c r="UMH48" s="48"/>
      <c r="UMI48" s="47"/>
      <c r="UMJ48" s="62"/>
      <c r="UMK48" s="47"/>
      <c r="UML48" s="48"/>
      <c r="UMM48" s="47"/>
      <c r="UMN48" s="62"/>
      <c r="UMO48" s="47"/>
      <c r="UMP48" s="48"/>
      <c r="UMQ48" s="47"/>
      <c r="UMR48" s="62"/>
      <c r="UMS48" s="47"/>
      <c r="UMT48" s="48"/>
      <c r="UMU48" s="47"/>
      <c r="UMV48" s="62"/>
      <c r="UMW48" s="47"/>
      <c r="UMX48" s="48"/>
      <c r="UMY48" s="47"/>
      <c r="UMZ48" s="62"/>
      <c r="UNA48" s="47"/>
      <c r="UNB48" s="48"/>
      <c r="UNC48" s="47"/>
      <c r="UND48" s="62"/>
      <c r="UNE48" s="47"/>
      <c r="UNF48" s="48"/>
      <c r="UNG48" s="47"/>
      <c r="UNH48" s="62"/>
      <c r="UNI48" s="47"/>
      <c r="UNJ48" s="48"/>
      <c r="UNK48" s="47"/>
      <c r="UNL48" s="62"/>
      <c r="UNM48" s="47"/>
      <c r="UNN48" s="48"/>
      <c r="UNO48" s="47"/>
      <c r="UNP48" s="62"/>
      <c r="UNQ48" s="47"/>
      <c r="UNR48" s="48"/>
      <c r="UNS48" s="47"/>
      <c r="UNT48" s="62"/>
      <c r="UNU48" s="47"/>
      <c r="UNV48" s="48"/>
      <c r="UNW48" s="47"/>
      <c r="UNX48" s="62"/>
      <c r="UNY48" s="47"/>
      <c r="UNZ48" s="48"/>
      <c r="UOA48" s="47"/>
      <c r="UOB48" s="62"/>
      <c r="UOC48" s="47"/>
      <c r="UOD48" s="48"/>
      <c r="UOE48" s="47"/>
      <c r="UOF48" s="62"/>
      <c r="UOG48" s="47"/>
      <c r="UOH48" s="48"/>
      <c r="UOI48" s="47"/>
      <c r="UOJ48" s="62"/>
      <c r="UOK48" s="47"/>
      <c r="UOL48" s="48"/>
      <c r="UOM48" s="47"/>
      <c r="UON48" s="62"/>
      <c r="UOO48" s="47"/>
      <c r="UOP48" s="48"/>
      <c r="UOQ48" s="47"/>
      <c r="UOR48" s="62"/>
      <c r="UOS48" s="47"/>
      <c r="UOT48" s="48"/>
      <c r="UOU48" s="47"/>
      <c r="UOV48" s="62"/>
      <c r="UOW48" s="47"/>
      <c r="UOX48" s="48"/>
      <c r="UOY48" s="47"/>
      <c r="UOZ48" s="62"/>
      <c r="UPA48" s="47"/>
      <c r="UPB48" s="48"/>
      <c r="UPC48" s="47"/>
      <c r="UPD48" s="62"/>
      <c r="UPE48" s="47"/>
      <c r="UPF48" s="48"/>
      <c r="UPG48" s="47"/>
      <c r="UPH48" s="62"/>
      <c r="UPI48" s="47"/>
      <c r="UPJ48" s="48"/>
      <c r="UPK48" s="47"/>
      <c r="UPL48" s="62"/>
      <c r="UPM48" s="47"/>
      <c r="UPN48" s="48"/>
      <c r="UPO48" s="47"/>
      <c r="UPP48" s="62"/>
      <c r="UPQ48" s="47"/>
      <c r="UPR48" s="48"/>
      <c r="UPS48" s="47"/>
      <c r="UPT48" s="62"/>
      <c r="UPU48" s="47"/>
      <c r="UPV48" s="48"/>
      <c r="UPW48" s="47"/>
      <c r="UPX48" s="62"/>
      <c r="UPY48" s="47"/>
      <c r="UPZ48" s="48"/>
      <c r="UQA48" s="47"/>
      <c r="UQB48" s="62"/>
      <c r="UQC48" s="47"/>
      <c r="UQD48" s="48"/>
      <c r="UQE48" s="47"/>
      <c r="UQF48" s="62"/>
      <c r="UQG48" s="47"/>
      <c r="UQH48" s="48"/>
      <c r="UQI48" s="47"/>
      <c r="UQJ48" s="62"/>
      <c r="UQK48" s="47"/>
      <c r="UQL48" s="48"/>
      <c r="UQM48" s="47"/>
      <c r="UQN48" s="62"/>
      <c r="UQO48" s="47"/>
      <c r="UQP48" s="48"/>
      <c r="UQQ48" s="47"/>
      <c r="UQR48" s="62"/>
      <c r="UQS48" s="47"/>
      <c r="UQT48" s="48"/>
      <c r="UQU48" s="47"/>
      <c r="UQV48" s="62"/>
      <c r="UQW48" s="47"/>
      <c r="UQX48" s="48"/>
      <c r="UQY48" s="47"/>
      <c r="UQZ48" s="62"/>
      <c r="URA48" s="47"/>
      <c r="URB48" s="48"/>
      <c r="URC48" s="47"/>
      <c r="URD48" s="62"/>
      <c r="URE48" s="47"/>
      <c r="URF48" s="48"/>
      <c r="URG48" s="47"/>
      <c r="URH48" s="62"/>
      <c r="URI48" s="47"/>
      <c r="URJ48" s="48"/>
      <c r="URK48" s="47"/>
      <c r="URL48" s="62"/>
      <c r="URM48" s="47"/>
      <c r="URN48" s="48"/>
      <c r="URO48" s="47"/>
      <c r="URP48" s="62"/>
      <c r="URQ48" s="47"/>
      <c r="URR48" s="48"/>
      <c r="URS48" s="47"/>
      <c r="URT48" s="62"/>
      <c r="URU48" s="47"/>
      <c r="URV48" s="48"/>
      <c r="URW48" s="47"/>
      <c r="URX48" s="62"/>
      <c r="URY48" s="47"/>
      <c r="URZ48" s="48"/>
      <c r="USA48" s="47"/>
      <c r="USB48" s="62"/>
      <c r="USC48" s="47"/>
      <c r="USD48" s="48"/>
      <c r="USE48" s="47"/>
      <c r="USF48" s="62"/>
      <c r="USG48" s="47"/>
      <c r="USH48" s="48"/>
      <c r="USI48" s="47"/>
      <c r="USJ48" s="62"/>
      <c r="USK48" s="47"/>
      <c r="USL48" s="48"/>
      <c r="USM48" s="47"/>
      <c r="USN48" s="62"/>
      <c r="USO48" s="47"/>
      <c r="USP48" s="48"/>
      <c r="USQ48" s="47"/>
      <c r="USR48" s="62"/>
      <c r="USS48" s="47"/>
      <c r="UST48" s="48"/>
      <c r="USU48" s="47"/>
      <c r="USV48" s="62"/>
      <c r="USW48" s="47"/>
      <c r="USX48" s="48"/>
      <c r="USY48" s="47"/>
      <c r="USZ48" s="62"/>
      <c r="UTA48" s="47"/>
      <c r="UTB48" s="48"/>
      <c r="UTC48" s="47"/>
      <c r="UTD48" s="62"/>
      <c r="UTE48" s="47"/>
      <c r="UTF48" s="48"/>
      <c r="UTG48" s="47"/>
      <c r="UTH48" s="62"/>
      <c r="UTI48" s="47"/>
      <c r="UTJ48" s="48"/>
      <c r="UTK48" s="47"/>
      <c r="UTL48" s="62"/>
      <c r="UTM48" s="47"/>
      <c r="UTN48" s="48"/>
      <c r="UTO48" s="47"/>
      <c r="UTP48" s="62"/>
      <c r="UTQ48" s="47"/>
      <c r="UTR48" s="48"/>
      <c r="UTS48" s="47"/>
      <c r="UTT48" s="62"/>
      <c r="UTU48" s="47"/>
      <c r="UTV48" s="48"/>
      <c r="UTW48" s="47"/>
      <c r="UTX48" s="62"/>
      <c r="UTY48" s="47"/>
      <c r="UTZ48" s="48"/>
      <c r="UUA48" s="47"/>
      <c r="UUB48" s="62"/>
      <c r="UUC48" s="47"/>
      <c r="UUD48" s="48"/>
      <c r="UUE48" s="47"/>
      <c r="UUF48" s="62"/>
      <c r="UUG48" s="47"/>
      <c r="UUH48" s="48"/>
      <c r="UUI48" s="47"/>
      <c r="UUJ48" s="62"/>
      <c r="UUK48" s="47"/>
      <c r="UUL48" s="48"/>
      <c r="UUM48" s="47"/>
      <c r="UUN48" s="62"/>
      <c r="UUO48" s="47"/>
      <c r="UUP48" s="48"/>
      <c r="UUQ48" s="47"/>
      <c r="UUR48" s="62"/>
      <c r="UUS48" s="47"/>
      <c r="UUT48" s="48"/>
      <c r="UUU48" s="47"/>
      <c r="UUV48" s="62"/>
      <c r="UUW48" s="47"/>
      <c r="UUX48" s="48"/>
      <c r="UUY48" s="47"/>
      <c r="UUZ48" s="62"/>
      <c r="UVA48" s="47"/>
      <c r="UVB48" s="48"/>
      <c r="UVC48" s="47"/>
      <c r="UVD48" s="62"/>
      <c r="UVE48" s="47"/>
      <c r="UVF48" s="48"/>
      <c r="UVG48" s="47"/>
      <c r="UVH48" s="62"/>
      <c r="UVI48" s="47"/>
      <c r="UVJ48" s="48"/>
      <c r="UVK48" s="47"/>
      <c r="UVL48" s="62"/>
      <c r="UVM48" s="47"/>
      <c r="UVN48" s="48"/>
      <c r="UVO48" s="47"/>
      <c r="UVP48" s="62"/>
      <c r="UVQ48" s="47"/>
      <c r="UVR48" s="48"/>
      <c r="UVS48" s="47"/>
      <c r="UVT48" s="62"/>
      <c r="UVU48" s="47"/>
      <c r="UVV48" s="48"/>
      <c r="UVW48" s="47"/>
      <c r="UVX48" s="62"/>
      <c r="UVY48" s="47"/>
      <c r="UVZ48" s="48"/>
      <c r="UWA48" s="47"/>
      <c r="UWB48" s="62"/>
      <c r="UWC48" s="47"/>
      <c r="UWD48" s="48"/>
      <c r="UWE48" s="47"/>
      <c r="UWF48" s="62"/>
      <c r="UWG48" s="47"/>
      <c r="UWH48" s="48"/>
      <c r="UWI48" s="47"/>
      <c r="UWJ48" s="62"/>
      <c r="UWK48" s="47"/>
      <c r="UWL48" s="48"/>
      <c r="UWM48" s="47"/>
      <c r="UWN48" s="62"/>
      <c r="UWO48" s="47"/>
      <c r="UWP48" s="48"/>
      <c r="UWQ48" s="47"/>
      <c r="UWR48" s="62"/>
      <c r="UWS48" s="47"/>
      <c r="UWT48" s="48"/>
      <c r="UWU48" s="47"/>
      <c r="UWV48" s="62"/>
      <c r="UWW48" s="47"/>
      <c r="UWX48" s="48"/>
      <c r="UWY48" s="47"/>
      <c r="UWZ48" s="62"/>
      <c r="UXA48" s="47"/>
      <c r="UXB48" s="48"/>
      <c r="UXC48" s="47"/>
      <c r="UXD48" s="62"/>
      <c r="UXE48" s="47"/>
      <c r="UXF48" s="48"/>
      <c r="UXG48" s="47"/>
      <c r="UXH48" s="62"/>
      <c r="UXI48" s="47"/>
      <c r="UXJ48" s="48"/>
      <c r="UXK48" s="47"/>
      <c r="UXL48" s="62"/>
      <c r="UXM48" s="47"/>
      <c r="UXN48" s="48"/>
      <c r="UXO48" s="47"/>
      <c r="UXP48" s="62"/>
      <c r="UXQ48" s="47"/>
      <c r="UXR48" s="48"/>
      <c r="UXS48" s="47"/>
      <c r="UXT48" s="62"/>
      <c r="UXU48" s="47"/>
      <c r="UXV48" s="48"/>
      <c r="UXW48" s="47"/>
      <c r="UXX48" s="62"/>
      <c r="UXY48" s="47"/>
      <c r="UXZ48" s="48"/>
      <c r="UYA48" s="47"/>
      <c r="UYB48" s="62"/>
      <c r="UYC48" s="47"/>
      <c r="UYD48" s="48"/>
      <c r="UYE48" s="47"/>
      <c r="UYF48" s="62"/>
      <c r="UYG48" s="47"/>
      <c r="UYH48" s="48"/>
      <c r="UYI48" s="47"/>
      <c r="UYJ48" s="62"/>
      <c r="UYK48" s="47"/>
      <c r="UYL48" s="48"/>
      <c r="UYM48" s="47"/>
      <c r="UYN48" s="62"/>
      <c r="UYO48" s="47"/>
      <c r="UYP48" s="48"/>
      <c r="UYQ48" s="47"/>
      <c r="UYR48" s="62"/>
      <c r="UYS48" s="47"/>
      <c r="UYT48" s="48"/>
      <c r="UYU48" s="47"/>
      <c r="UYV48" s="62"/>
      <c r="UYW48" s="47"/>
      <c r="UYX48" s="48"/>
      <c r="UYY48" s="47"/>
      <c r="UYZ48" s="62"/>
      <c r="UZA48" s="47"/>
      <c r="UZB48" s="48"/>
      <c r="UZC48" s="47"/>
      <c r="UZD48" s="62"/>
      <c r="UZE48" s="47"/>
      <c r="UZF48" s="48"/>
      <c r="UZG48" s="47"/>
      <c r="UZH48" s="62"/>
      <c r="UZI48" s="47"/>
      <c r="UZJ48" s="48"/>
      <c r="UZK48" s="47"/>
      <c r="UZL48" s="62"/>
      <c r="UZM48" s="47"/>
      <c r="UZN48" s="48"/>
      <c r="UZO48" s="47"/>
      <c r="UZP48" s="62"/>
      <c r="UZQ48" s="47"/>
      <c r="UZR48" s="48"/>
      <c r="UZS48" s="47"/>
      <c r="UZT48" s="62"/>
      <c r="UZU48" s="47"/>
      <c r="UZV48" s="48"/>
      <c r="UZW48" s="47"/>
      <c r="UZX48" s="62"/>
      <c r="UZY48" s="47"/>
      <c r="UZZ48" s="48"/>
      <c r="VAA48" s="47"/>
      <c r="VAB48" s="62"/>
      <c r="VAC48" s="47"/>
      <c r="VAD48" s="48"/>
      <c r="VAE48" s="47"/>
      <c r="VAF48" s="62"/>
      <c r="VAG48" s="47"/>
      <c r="VAH48" s="48"/>
      <c r="VAI48" s="47"/>
      <c r="VAJ48" s="62"/>
      <c r="VAK48" s="47"/>
      <c r="VAL48" s="48"/>
      <c r="VAM48" s="47"/>
      <c r="VAN48" s="62"/>
      <c r="VAO48" s="47"/>
      <c r="VAP48" s="48"/>
      <c r="VAQ48" s="47"/>
      <c r="VAR48" s="62"/>
      <c r="VAS48" s="47"/>
      <c r="VAT48" s="48"/>
      <c r="VAU48" s="47"/>
      <c r="VAV48" s="62"/>
      <c r="VAW48" s="47"/>
      <c r="VAX48" s="48"/>
      <c r="VAY48" s="47"/>
      <c r="VAZ48" s="62"/>
      <c r="VBA48" s="47"/>
      <c r="VBB48" s="48"/>
      <c r="VBC48" s="47"/>
      <c r="VBD48" s="62"/>
      <c r="VBE48" s="47"/>
      <c r="VBF48" s="48"/>
      <c r="VBG48" s="47"/>
      <c r="VBH48" s="62"/>
      <c r="VBI48" s="47"/>
      <c r="VBJ48" s="48"/>
      <c r="VBK48" s="47"/>
      <c r="VBL48" s="62"/>
      <c r="VBM48" s="47"/>
      <c r="VBN48" s="48"/>
      <c r="VBO48" s="47"/>
      <c r="VBP48" s="62"/>
      <c r="VBQ48" s="47"/>
      <c r="VBR48" s="48"/>
      <c r="VBS48" s="47"/>
      <c r="VBT48" s="62"/>
      <c r="VBU48" s="47"/>
      <c r="VBV48" s="48"/>
      <c r="VBW48" s="47"/>
      <c r="VBX48" s="62"/>
      <c r="VBY48" s="47"/>
      <c r="VBZ48" s="48"/>
      <c r="VCA48" s="47"/>
      <c r="VCB48" s="62"/>
      <c r="VCC48" s="47"/>
      <c r="VCD48" s="48"/>
      <c r="VCE48" s="47"/>
      <c r="VCF48" s="62"/>
      <c r="VCG48" s="47"/>
      <c r="VCH48" s="48"/>
      <c r="VCI48" s="47"/>
      <c r="VCJ48" s="62"/>
      <c r="VCK48" s="47"/>
      <c r="VCL48" s="48"/>
      <c r="VCM48" s="47"/>
      <c r="VCN48" s="62"/>
      <c r="VCO48" s="47"/>
      <c r="VCP48" s="48"/>
      <c r="VCQ48" s="47"/>
      <c r="VCR48" s="62"/>
      <c r="VCS48" s="47"/>
      <c r="VCT48" s="48"/>
      <c r="VCU48" s="47"/>
      <c r="VCV48" s="62"/>
      <c r="VCW48" s="47"/>
      <c r="VCX48" s="48"/>
      <c r="VCY48" s="47"/>
      <c r="VCZ48" s="62"/>
      <c r="VDA48" s="47"/>
      <c r="VDB48" s="48"/>
      <c r="VDC48" s="47"/>
      <c r="VDD48" s="62"/>
      <c r="VDE48" s="47"/>
      <c r="VDF48" s="48"/>
      <c r="VDG48" s="47"/>
      <c r="VDH48" s="62"/>
      <c r="VDI48" s="47"/>
      <c r="VDJ48" s="48"/>
      <c r="VDK48" s="47"/>
      <c r="VDL48" s="62"/>
      <c r="VDM48" s="47"/>
      <c r="VDN48" s="48"/>
      <c r="VDO48" s="47"/>
      <c r="VDP48" s="62"/>
      <c r="VDQ48" s="47"/>
      <c r="VDR48" s="48"/>
      <c r="VDS48" s="47"/>
      <c r="VDT48" s="62"/>
      <c r="VDU48" s="47"/>
      <c r="VDV48" s="48"/>
      <c r="VDW48" s="47"/>
      <c r="VDX48" s="62"/>
      <c r="VDY48" s="47"/>
      <c r="VDZ48" s="48"/>
      <c r="VEA48" s="47"/>
      <c r="VEB48" s="62"/>
      <c r="VEC48" s="47"/>
      <c r="VED48" s="48"/>
      <c r="VEE48" s="47"/>
      <c r="VEF48" s="62"/>
      <c r="VEG48" s="47"/>
      <c r="VEH48" s="48"/>
      <c r="VEI48" s="47"/>
      <c r="VEJ48" s="62"/>
      <c r="VEK48" s="47"/>
      <c r="VEL48" s="48"/>
      <c r="VEM48" s="47"/>
      <c r="VEN48" s="62"/>
      <c r="VEO48" s="47"/>
      <c r="VEP48" s="48"/>
      <c r="VEQ48" s="47"/>
      <c r="VER48" s="62"/>
      <c r="VES48" s="47"/>
      <c r="VET48" s="48"/>
      <c r="VEU48" s="47"/>
      <c r="VEV48" s="62"/>
      <c r="VEW48" s="47"/>
      <c r="VEX48" s="48"/>
      <c r="VEY48" s="47"/>
      <c r="VEZ48" s="62"/>
      <c r="VFA48" s="47"/>
      <c r="VFB48" s="48"/>
      <c r="VFC48" s="47"/>
      <c r="VFD48" s="62"/>
      <c r="VFE48" s="47"/>
      <c r="VFF48" s="48"/>
      <c r="VFG48" s="47"/>
      <c r="VFH48" s="62"/>
      <c r="VFI48" s="47"/>
      <c r="VFJ48" s="48"/>
      <c r="VFK48" s="47"/>
      <c r="VFL48" s="62"/>
      <c r="VFM48" s="47"/>
      <c r="VFN48" s="48"/>
      <c r="VFO48" s="47"/>
      <c r="VFP48" s="62"/>
      <c r="VFQ48" s="47"/>
      <c r="VFR48" s="48"/>
      <c r="VFS48" s="47"/>
      <c r="VFT48" s="62"/>
      <c r="VFU48" s="47"/>
      <c r="VFV48" s="48"/>
      <c r="VFW48" s="47"/>
      <c r="VFX48" s="62"/>
      <c r="VFY48" s="47"/>
      <c r="VFZ48" s="48"/>
      <c r="VGA48" s="47"/>
      <c r="VGB48" s="62"/>
      <c r="VGC48" s="47"/>
      <c r="VGD48" s="48"/>
      <c r="VGE48" s="47"/>
      <c r="VGF48" s="62"/>
      <c r="VGG48" s="47"/>
      <c r="VGH48" s="48"/>
      <c r="VGI48" s="47"/>
      <c r="VGJ48" s="62"/>
      <c r="VGK48" s="47"/>
      <c r="VGL48" s="48"/>
      <c r="VGM48" s="47"/>
      <c r="VGN48" s="62"/>
      <c r="VGO48" s="47"/>
      <c r="VGP48" s="48"/>
      <c r="VGQ48" s="47"/>
      <c r="VGR48" s="62"/>
      <c r="VGS48" s="47"/>
      <c r="VGT48" s="48"/>
      <c r="VGU48" s="47"/>
      <c r="VGV48" s="62"/>
      <c r="VGW48" s="47"/>
      <c r="VGX48" s="48"/>
      <c r="VGY48" s="47"/>
      <c r="VGZ48" s="62"/>
      <c r="VHA48" s="47"/>
      <c r="VHB48" s="48"/>
      <c r="VHC48" s="47"/>
      <c r="VHD48" s="62"/>
      <c r="VHE48" s="47"/>
      <c r="VHF48" s="48"/>
      <c r="VHG48" s="47"/>
      <c r="VHH48" s="62"/>
      <c r="VHI48" s="47"/>
      <c r="VHJ48" s="48"/>
      <c r="VHK48" s="47"/>
      <c r="VHL48" s="62"/>
      <c r="VHM48" s="47"/>
      <c r="VHN48" s="48"/>
      <c r="VHO48" s="47"/>
      <c r="VHP48" s="62"/>
      <c r="VHQ48" s="47"/>
      <c r="VHR48" s="48"/>
      <c r="VHS48" s="47"/>
      <c r="VHT48" s="62"/>
      <c r="VHU48" s="47"/>
      <c r="VHV48" s="48"/>
      <c r="VHW48" s="47"/>
      <c r="VHX48" s="62"/>
      <c r="VHY48" s="47"/>
      <c r="VHZ48" s="48"/>
      <c r="VIA48" s="47"/>
      <c r="VIB48" s="62"/>
      <c r="VIC48" s="47"/>
      <c r="VID48" s="48"/>
      <c r="VIE48" s="47"/>
      <c r="VIF48" s="62"/>
      <c r="VIG48" s="47"/>
      <c r="VIH48" s="48"/>
      <c r="VII48" s="47"/>
      <c r="VIJ48" s="62"/>
      <c r="VIK48" s="47"/>
      <c r="VIL48" s="48"/>
      <c r="VIM48" s="47"/>
      <c r="VIN48" s="62"/>
      <c r="VIO48" s="47"/>
      <c r="VIP48" s="48"/>
      <c r="VIQ48" s="47"/>
      <c r="VIR48" s="62"/>
      <c r="VIS48" s="47"/>
      <c r="VIT48" s="48"/>
      <c r="VIU48" s="47"/>
      <c r="VIV48" s="62"/>
      <c r="VIW48" s="47"/>
      <c r="VIX48" s="48"/>
      <c r="VIY48" s="47"/>
      <c r="VIZ48" s="62"/>
      <c r="VJA48" s="47"/>
      <c r="VJB48" s="48"/>
      <c r="VJC48" s="47"/>
      <c r="VJD48" s="62"/>
      <c r="VJE48" s="47"/>
      <c r="VJF48" s="48"/>
      <c r="VJG48" s="47"/>
      <c r="VJH48" s="62"/>
      <c r="VJI48" s="47"/>
      <c r="VJJ48" s="48"/>
      <c r="VJK48" s="47"/>
      <c r="VJL48" s="62"/>
      <c r="VJM48" s="47"/>
      <c r="VJN48" s="48"/>
      <c r="VJO48" s="47"/>
      <c r="VJP48" s="62"/>
      <c r="VJQ48" s="47"/>
      <c r="VJR48" s="48"/>
      <c r="VJS48" s="47"/>
      <c r="VJT48" s="62"/>
      <c r="VJU48" s="47"/>
      <c r="VJV48" s="48"/>
      <c r="VJW48" s="47"/>
      <c r="VJX48" s="62"/>
      <c r="VJY48" s="47"/>
      <c r="VJZ48" s="48"/>
      <c r="VKA48" s="47"/>
      <c r="VKB48" s="62"/>
      <c r="VKC48" s="47"/>
      <c r="VKD48" s="48"/>
      <c r="VKE48" s="47"/>
      <c r="VKF48" s="62"/>
      <c r="VKG48" s="47"/>
      <c r="VKH48" s="48"/>
      <c r="VKI48" s="47"/>
      <c r="VKJ48" s="62"/>
      <c r="VKK48" s="47"/>
      <c r="VKL48" s="48"/>
      <c r="VKM48" s="47"/>
      <c r="VKN48" s="62"/>
      <c r="VKO48" s="47"/>
      <c r="VKP48" s="48"/>
      <c r="VKQ48" s="47"/>
      <c r="VKR48" s="62"/>
      <c r="VKS48" s="47"/>
      <c r="VKT48" s="48"/>
      <c r="VKU48" s="47"/>
      <c r="VKV48" s="62"/>
      <c r="VKW48" s="47"/>
      <c r="VKX48" s="48"/>
      <c r="VKY48" s="47"/>
      <c r="VKZ48" s="62"/>
      <c r="VLA48" s="47"/>
      <c r="VLB48" s="48"/>
      <c r="VLC48" s="47"/>
      <c r="VLD48" s="62"/>
      <c r="VLE48" s="47"/>
      <c r="VLF48" s="48"/>
      <c r="VLG48" s="47"/>
      <c r="VLH48" s="62"/>
      <c r="VLI48" s="47"/>
      <c r="VLJ48" s="48"/>
      <c r="VLK48" s="47"/>
      <c r="VLL48" s="62"/>
      <c r="VLM48" s="47"/>
      <c r="VLN48" s="48"/>
      <c r="VLO48" s="47"/>
      <c r="VLP48" s="62"/>
      <c r="VLQ48" s="47"/>
      <c r="VLR48" s="48"/>
      <c r="VLS48" s="47"/>
      <c r="VLT48" s="62"/>
      <c r="VLU48" s="47"/>
      <c r="VLV48" s="48"/>
      <c r="VLW48" s="47"/>
      <c r="VLX48" s="62"/>
      <c r="VLY48" s="47"/>
      <c r="VLZ48" s="48"/>
      <c r="VMA48" s="47"/>
      <c r="VMB48" s="62"/>
      <c r="VMC48" s="47"/>
      <c r="VMD48" s="48"/>
      <c r="VME48" s="47"/>
      <c r="VMF48" s="62"/>
      <c r="VMG48" s="47"/>
      <c r="VMH48" s="48"/>
      <c r="VMI48" s="47"/>
      <c r="VMJ48" s="62"/>
      <c r="VMK48" s="47"/>
      <c r="VML48" s="48"/>
      <c r="VMM48" s="47"/>
      <c r="VMN48" s="62"/>
      <c r="VMO48" s="47"/>
      <c r="VMP48" s="48"/>
      <c r="VMQ48" s="47"/>
      <c r="VMR48" s="62"/>
      <c r="VMS48" s="47"/>
      <c r="VMT48" s="48"/>
      <c r="VMU48" s="47"/>
      <c r="VMV48" s="62"/>
      <c r="VMW48" s="47"/>
      <c r="VMX48" s="48"/>
      <c r="VMY48" s="47"/>
      <c r="VMZ48" s="62"/>
      <c r="VNA48" s="47"/>
      <c r="VNB48" s="48"/>
      <c r="VNC48" s="47"/>
      <c r="VND48" s="62"/>
      <c r="VNE48" s="47"/>
      <c r="VNF48" s="48"/>
      <c r="VNG48" s="47"/>
      <c r="VNH48" s="62"/>
      <c r="VNI48" s="47"/>
      <c r="VNJ48" s="48"/>
      <c r="VNK48" s="47"/>
      <c r="VNL48" s="62"/>
      <c r="VNM48" s="47"/>
      <c r="VNN48" s="48"/>
      <c r="VNO48" s="47"/>
      <c r="VNP48" s="62"/>
      <c r="VNQ48" s="47"/>
      <c r="VNR48" s="48"/>
      <c r="VNS48" s="47"/>
      <c r="VNT48" s="62"/>
      <c r="VNU48" s="47"/>
      <c r="VNV48" s="48"/>
      <c r="VNW48" s="47"/>
      <c r="VNX48" s="62"/>
      <c r="VNY48" s="47"/>
      <c r="VNZ48" s="48"/>
      <c r="VOA48" s="47"/>
      <c r="VOB48" s="62"/>
      <c r="VOC48" s="47"/>
      <c r="VOD48" s="48"/>
      <c r="VOE48" s="47"/>
      <c r="VOF48" s="62"/>
      <c r="VOG48" s="47"/>
      <c r="VOH48" s="48"/>
      <c r="VOI48" s="47"/>
      <c r="VOJ48" s="62"/>
      <c r="VOK48" s="47"/>
      <c r="VOL48" s="48"/>
      <c r="VOM48" s="47"/>
      <c r="VON48" s="62"/>
      <c r="VOO48" s="47"/>
      <c r="VOP48" s="48"/>
      <c r="VOQ48" s="47"/>
      <c r="VOR48" s="62"/>
      <c r="VOS48" s="47"/>
      <c r="VOT48" s="48"/>
      <c r="VOU48" s="47"/>
      <c r="VOV48" s="62"/>
      <c r="VOW48" s="47"/>
      <c r="VOX48" s="48"/>
      <c r="VOY48" s="47"/>
      <c r="VOZ48" s="62"/>
      <c r="VPA48" s="47"/>
      <c r="VPB48" s="48"/>
      <c r="VPC48" s="47"/>
      <c r="VPD48" s="62"/>
      <c r="VPE48" s="47"/>
      <c r="VPF48" s="48"/>
      <c r="VPG48" s="47"/>
      <c r="VPH48" s="62"/>
      <c r="VPI48" s="47"/>
      <c r="VPJ48" s="48"/>
      <c r="VPK48" s="47"/>
      <c r="VPL48" s="62"/>
      <c r="VPM48" s="47"/>
      <c r="VPN48" s="48"/>
      <c r="VPO48" s="47"/>
      <c r="VPP48" s="62"/>
      <c r="VPQ48" s="47"/>
      <c r="VPR48" s="48"/>
      <c r="VPS48" s="47"/>
      <c r="VPT48" s="62"/>
      <c r="VPU48" s="47"/>
      <c r="VPV48" s="48"/>
      <c r="VPW48" s="47"/>
      <c r="VPX48" s="62"/>
      <c r="VPY48" s="47"/>
      <c r="VPZ48" s="48"/>
      <c r="VQA48" s="47"/>
      <c r="VQB48" s="62"/>
      <c r="VQC48" s="47"/>
      <c r="VQD48" s="48"/>
      <c r="VQE48" s="47"/>
      <c r="VQF48" s="62"/>
      <c r="VQG48" s="47"/>
      <c r="VQH48" s="48"/>
      <c r="VQI48" s="47"/>
      <c r="VQJ48" s="62"/>
      <c r="VQK48" s="47"/>
      <c r="VQL48" s="48"/>
      <c r="VQM48" s="47"/>
      <c r="VQN48" s="62"/>
      <c r="VQO48" s="47"/>
      <c r="VQP48" s="48"/>
      <c r="VQQ48" s="47"/>
      <c r="VQR48" s="62"/>
      <c r="VQS48" s="47"/>
      <c r="VQT48" s="48"/>
      <c r="VQU48" s="47"/>
      <c r="VQV48" s="62"/>
      <c r="VQW48" s="47"/>
      <c r="VQX48" s="48"/>
      <c r="VQY48" s="47"/>
      <c r="VQZ48" s="62"/>
      <c r="VRA48" s="47"/>
      <c r="VRB48" s="48"/>
      <c r="VRC48" s="47"/>
      <c r="VRD48" s="62"/>
      <c r="VRE48" s="47"/>
      <c r="VRF48" s="48"/>
      <c r="VRG48" s="47"/>
      <c r="VRH48" s="62"/>
      <c r="VRI48" s="47"/>
      <c r="VRJ48" s="48"/>
      <c r="VRK48" s="47"/>
      <c r="VRL48" s="62"/>
      <c r="VRM48" s="47"/>
      <c r="VRN48" s="48"/>
      <c r="VRO48" s="47"/>
      <c r="VRP48" s="62"/>
      <c r="VRQ48" s="47"/>
      <c r="VRR48" s="48"/>
      <c r="VRS48" s="47"/>
      <c r="VRT48" s="62"/>
      <c r="VRU48" s="47"/>
      <c r="VRV48" s="48"/>
      <c r="VRW48" s="47"/>
      <c r="VRX48" s="62"/>
      <c r="VRY48" s="47"/>
      <c r="VRZ48" s="48"/>
      <c r="VSA48" s="47"/>
      <c r="VSB48" s="62"/>
      <c r="VSC48" s="47"/>
      <c r="VSD48" s="48"/>
      <c r="VSE48" s="47"/>
      <c r="VSF48" s="62"/>
      <c r="VSG48" s="47"/>
      <c r="VSH48" s="48"/>
      <c r="VSI48" s="47"/>
      <c r="VSJ48" s="62"/>
      <c r="VSK48" s="47"/>
      <c r="VSL48" s="48"/>
      <c r="VSM48" s="47"/>
      <c r="VSN48" s="62"/>
      <c r="VSO48" s="47"/>
      <c r="VSP48" s="48"/>
      <c r="VSQ48" s="47"/>
      <c r="VSR48" s="62"/>
      <c r="VSS48" s="47"/>
      <c r="VST48" s="48"/>
      <c r="VSU48" s="47"/>
      <c r="VSV48" s="62"/>
      <c r="VSW48" s="47"/>
      <c r="VSX48" s="48"/>
      <c r="VSY48" s="47"/>
      <c r="VSZ48" s="62"/>
      <c r="VTA48" s="47"/>
      <c r="VTB48" s="48"/>
      <c r="VTC48" s="47"/>
      <c r="VTD48" s="62"/>
      <c r="VTE48" s="47"/>
      <c r="VTF48" s="48"/>
      <c r="VTG48" s="47"/>
      <c r="VTH48" s="62"/>
      <c r="VTI48" s="47"/>
      <c r="VTJ48" s="48"/>
      <c r="VTK48" s="47"/>
      <c r="VTL48" s="62"/>
      <c r="VTM48" s="47"/>
      <c r="VTN48" s="48"/>
      <c r="VTO48" s="47"/>
      <c r="VTP48" s="62"/>
      <c r="VTQ48" s="47"/>
      <c r="VTR48" s="48"/>
      <c r="VTS48" s="47"/>
      <c r="VTT48" s="62"/>
      <c r="VTU48" s="47"/>
      <c r="VTV48" s="48"/>
      <c r="VTW48" s="47"/>
      <c r="VTX48" s="62"/>
      <c r="VTY48" s="47"/>
      <c r="VTZ48" s="48"/>
      <c r="VUA48" s="47"/>
      <c r="VUB48" s="62"/>
      <c r="VUC48" s="47"/>
      <c r="VUD48" s="48"/>
      <c r="VUE48" s="47"/>
      <c r="VUF48" s="62"/>
      <c r="VUG48" s="47"/>
      <c r="VUH48" s="48"/>
      <c r="VUI48" s="47"/>
      <c r="VUJ48" s="62"/>
      <c r="VUK48" s="47"/>
      <c r="VUL48" s="48"/>
      <c r="VUM48" s="47"/>
      <c r="VUN48" s="62"/>
      <c r="VUO48" s="47"/>
      <c r="VUP48" s="48"/>
      <c r="VUQ48" s="47"/>
      <c r="VUR48" s="62"/>
      <c r="VUS48" s="47"/>
      <c r="VUT48" s="48"/>
      <c r="VUU48" s="47"/>
      <c r="VUV48" s="62"/>
      <c r="VUW48" s="47"/>
      <c r="VUX48" s="48"/>
      <c r="VUY48" s="47"/>
      <c r="VUZ48" s="62"/>
      <c r="VVA48" s="47"/>
      <c r="VVB48" s="48"/>
      <c r="VVC48" s="47"/>
      <c r="VVD48" s="62"/>
      <c r="VVE48" s="47"/>
      <c r="VVF48" s="48"/>
      <c r="VVG48" s="47"/>
      <c r="VVH48" s="62"/>
      <c r="VVI48" s="47"/>
      <c r="VVJ48" s="48"/>
      <c r="VVK48" s="47"/>
      <c r="VVL48" s="62"/>
      <c r="VVM48" s="47"/>
      <c r="VVN48" s="48"/>
      <c r="VVO48" s="47"/>
      <c r="VVP48" s="62"/>
      <c r="VVQ48" s="47"/>
      <c r="VVR48" s="48"/>
      <c r="VVS48" s="47"/>
      <c r="VVT48" s="62"/>
      <c r="VVU48" s="47"/>
      <c r="VVV48" s="48"/>
      <c r="VVW48" s="47"/>
      <c r="VVX48" s="62"/>
      <c r="VVY48" s="47"/>
      <c r="VVZ48" s="48"/>
      <c r="VWA48" s="47"/>
      <c r="VWB48" s="62"/>
      <c r="VWC48" s="47"/>
      <c r="VWD48" s="48"/>
      <c r="VWE48" s="47"/>
      <c r="VWF48" s="62"/>
      <c r="VWG48" s="47"/>
      <c r="VWH48" s="48"/>
      <c r="VWI48" s="47"/>
      <c r="VWJ48" s="62"/>
      <c r="VWK48" s="47"/>
      <c r="VWL48" s="48"/>
      <c r="VWM48" s="47"/>
      <c r="VWN48" s="62"/>
      <c r="VWO48" s="47"/>
      <c r="VWP48" s="48"/>
      <c r="VWQ48" s="47"/>
      <c r="VWR48" s="62"/>
      <c r="VWS48" s="47"/>
      <c r="VWT48" s="48"/>
      <c r="VWU48" s="47"/>
      <c r="VWV48" s="62"/>
      <c r="VWW48" s="47"/>
      <c r="VWX48" s="48"/>
      <c r="VWY48" s="47"/>
      <c r="VWZ48" s="62"/>
      <c r="VXA48" s="47"/>
      <c r="VXB48" s="48"/>
      <c r="VXC48" s="47"/>
      <c r="VXD48" s="62"/>
      <c r="VXE48" s="47"/>
      <c r="VXF48" s="48"/>
      <c r="VXG48" s="47"/>
      <c r="VXH48" s="62"/>
      <c r="VXI48" s="47"/>
      <c r="VXJ48" s="48"/>
      <c r="VXK48" s="47"/>
      <c r="VXL48" s="62"/>
      <c r="VXM48" s="47"/>
      <c r="VXN48" s="48"/>
      <c r="VXO48" s="47"/>
      <c r="VXP48" s="62"/>
      <c r="VXQ48" s="47"/>
      <c r="VXR48" s="48"/>
      <c r="VXS48" s="47"/>
      <c r="VXT48" s="62"/>
      <c r="VXU48" s="47"/>
      <c r="VXV48" s="48"/>
      <c r="VXW48" s="47"/>
      <c r="VXX48" s="62"/>
      <c r="VXY48" s="47"/>
      <c r="VXZ48" s="48"/>
      <c r="VYA48" s="47"/>
      <c r="VYB48" s="62"/>
      <c r="VYC48" s="47"/>
      <c r="VYD48" s="48"/>
      <c r="VYE48" s="47"/>
      <c r="VYF48" s="62"/>
      <c r="VYG48" s="47"/>
      <c r="VYH48" s="48"/>
      <c r="VYI48" s="47"/>
      <c r="VYJ48" s="62"/>
      <c r="VYK48" s="47"/>
      <c r="VYL48" s="48"/>
      <c r="VYM48" s="47"/>
      <c r="VYN48" s="62"/>
      <c r="VYO48" s="47"/>
      <c r="VYP48" s="48"/>
      <c r="VYQ48" s="47"/>
      <c r="VYR48" s="62"/>
      <c r="VYS48" s="47"/>
      <c r="VYT48" s="48"/>
      <c r="VYU48" s="47"/>
      <c r="VYV48" s="62"/>
      <c r="VYW48" s="47"/>
      <c r="VYX48" s="48"/>
      <c r="VYY48" s="47"/>
      <c r="VYZ48" s="62"/>
      <c r="VZA48" s="47"/>
      <c r="VZB48" s="48"/>
      <c r="VZC48" s="47"/>
      <c r="VZD48" s="62"/>
      <c r="VZE48" s="47"/>
      <c r="VZF48" s="48"/>
      <c r="VZG48" s="47"/>
      <c r="VZH48" s="62"/>
      <c r="VZI48" s="47"/>
      <c r="VZJ48" s="48"/>
      <c r="VZK48" s="47"/>
      <c r="VZL48" s="62"/>
      <c r="VZM48" s="47"/>
      <c r="VZN48" s="48"/>
      <c r="VZO48" s="47"/>
      <c r="VZP48" s="62"/>
      <c r="VZQ48" s="47"/>
      <c r="VZR48" s="48"/>
      <c r="VZS48" s="47"/>
      <c r="VZT48" s="62"/>
      <c r="VZU48" s="47"/>
      <c r="VZV48" s="48"/>
      <c r="VZW48" s="47"/>
      <c r="VZX48" s="62"/>
      <c r="VZY48" s="47"/>
      <c r="VZZ48" s="48"/>
      <c r="WAA48" s="47"/>
      <c r="WAB48" s="62"/>
      <c r="WAC48" s="47"/>
      <c r="WAD48" s="48"/>
      <c r="WAE48" s="47"/>
      <c r="WAF48" s="62"/>
      <c r="WAG48" s="47"/>
      <c r="WAH48" s="48"/>
      <c r="WAI48" s="47"/>
      <c r="WAJ48" s="62"/>
      <c r="WAK48" s="47"/>
      <c r="WAL48" s="48"/>
      <c r="WAM48" s="47"/>
      <c r="WAN48" s="62"/>
      <c r="WAO48" s="47"/>
      <c r="WAP48" s="48"/>
      <c r="WAQ48" s="47"/>
      <c r="WAR48" s="62"/>
      <c r="WAS48" s="47"/>
      <c r="WAT48" s="48"/>
      <c r="WAU48" s="47"/>
      <c r="WAV48" s="62"/>
      <c r="WAW48" s="47"/>
      <c r="WAX48" s="48"/>
      <c r="WAY48" s="47"/>
      <c r="WAZ48" s="62"/>
      <c r="WBA48" s="47"/>
      <c r="WBB48" s="48"/>
      <c r="WBC48" s="47"/>
      <c r="WBD48" s="62"/>
      <c r="WBE48" s="47"/>
      <c r="WBF48" s="48"/>
      <c r="WBG48" s="47"/>
      <c r="WBH48" s="62"/>
      <c r="WBI48" s="47"/>
      <c r="WBJ48" s="48"/>
      <c r="WBK48" s="47"/>
      <c r="WBL48" s="62"/>
      <c r="WBM48" s="47"/>
      <c r="WBN48" s="48"/>
      <c r="WBO48" s="47"/>
      <c r="WBP48" s="62"/>
      <c r="WBQ48" s="47"/>
      <c r="WBR48" s="48"/>
      <c r="WBS48" s="47"/>
      <c r="WBT48" s="62"/>
      <c r="WBU48" s="47"/>
      <c r="WBV48" s="48"/>
      <c r="WBW48" s="47"/>
      <c r="WBX48" s="62"/>
      <c r="WBY48" s="47"/>
      <c r="WBZ48" s="48"/>
      <c r="WCA48" s="47"/>
      <c r="WCB48" s="62"/>
      <c r="WCC48" s="47"/>
      <c r="WCD48" s="48"/>
      <c r="WCE48" s="47"/>
      <c r="WCF48" s="62"/>
      <c r="WCG48" s="47"/>
      <c r="WCH48" s="48"/>
      <c r="WCI48" s="47"/>
      <c r="WCJ48" s="62"/>
      <c r="WCK48" s="47"/>
      <c r="WCL48" s="48"/>
      <c r="WCM48" s="47"/>
      <c r="WCN48" s="62"/>
      <c r="WCO48" s="47"/>
      <c r="WCP48" s="48"/>
      <c r="WCQ48" s="47"/>
      <c r="WCR48" s="62"/>
      <c r="WCS48" s="47"/>
      <c r="WCT48" s="48"/>
      <c r="WCU48" s="47"/>
      <c r="WCV48" s="62"/>
      <c r="WCW48" s="47"/>
      <c r="WCX48" s="48"/>
      <c r="WCY48" s="47"/>
      <c r="WCZ48" s="62"/>
      <c r="WDA48" s="47"/>
      <c r="WDB48" s="48"/>
      <c r="WDC48" s="47"/>
      <c r="WDD48" s="62"/>
      <c r="WDE48" s="47"/>
      <c r="WDF48" s="48"/>
      <c r="WDG48" s="47"/>
      <c r="WDH48" s="62"/>
      <c r="WDI48" s="47"/>
      <c r="WDJ48" s="48"/>
      <c r="WDK48" s="47"/>
      <c r="WDL48" s="62"/>
      <c r="WDM48" s="47"/>
      <c r="WDN48" s="48"/>
      <c r="WDO48" s="47"/>
      <c r="WDP48" s="62"/>
      <c r="WDQ48" s="47"/>
      <c r="WDR48" s="48"/>
      <c r="WDS48" s="47"/>
      <c r="WDT48" s="62"/>
      <c r="WDU48" s="47"/>
      <c r="WDV48" s="48"/>
      <c r="WDW48" s="47"/>
      <c r="WDX48" s="62"/>
      <c r="WDY48" s="47"/>
      <c r="WDZ48" s="48"/>
      <c r="WEA48" s="47"/>
      <c r="WEB48" s="62"/>
      <c r="WEC48" s="47"/>
      <c r="WED48" s="48"/>
      <c r="WEE48" s="47"/>
      <c r="WEF48" s="62"/>
      <c r="WEG48" s="47"/>
      <c r="WEH48" s="48"/>
      <c r="WEI48" s="47"/>
      <c r="WEJ48" s="62"/>
      <c r="WEK48" s="47"/>
      <c r="WEL48" s="48"/>
      <c r="WEM48" s="47"/>
      <c r="WEN48" s="62"/>
      <c r="WEO48" s="47"/>
      <c r="WEP48" s="48"/>
      <c r="WEQ48" s="47"/>
      <c r="WER48" s="62"/>
      <c r="WES48" s="47"/>
      <c r="WET48" s="48"/>
      <c r="WEU48" s="47"/>
      <c r="WEV48" s="62"/>
      <c r="WEW48" s="47"/>
      <c r="WEX48" s="48"/>
      <c r="WEY48" s="47"/>
      <c r="WEZ48" s="62"/>
      <c r="WFA48" s="47"/>
      <c r="WFB48" s="48"/>
      <c r="WFC48" s="47"/>
      <c r="WFD48" s="62"/>
      <c r="WFE48" s="47"/>
      <c r="WFF48" s="48"/>
      <c r="WFG48" s="47"/>
      <c r="WFH48" s="62"/>
      <c r="WFI48" s="47"/>
      <c r="WFJ48" s="48"/>
      <c r="WFK48" s="47"/>
      <c r="WFL48" s="62"/>
      <c r="WFM48" s="47"/>
      <c r="WFN48" s="48"/>
      <c r="WFO48" s="47"/>
      <c r="WFP48" s="62"/>
      <c r="WFQ48" s="47"/>
      <c r="WFR48" s="48"/>
      <c r="WFS48" s="47"/>
      <c r="WFT48" s="62"/>
      <c r="WFU48" s="47"/>
      <c r="WFV48" s="48"/>
      <c r="WFW48" s="47"/>
      <c r="WFX48" s="62"/>
      <c r="WFY48" s="47"/>
      <c r="WFZ48" s="48"/>
      <c r="WGA48" s="47"/>
      <c r="WGB48" s="62"/>
      <c r="WGC48" s="47"/>
      <c r="WGD48" s="48"/>
      <c r="WGE48" s="47"/>
      <c r="WGF48" s="62"/>
      <c r="WGG48" s="47"/>
      <c r="WGH48" s="48"/>
      <c r="WGI48" s="47"/>
      <c r="WGJ48" s="62"/>
      <c r="WGK48" s="47"/>
      <c r="WGL48" s="48"/>
      <c r="WGM48" s="47"/>
      <c r="WGN48" s="62"/>
      <c r="WGO48" s="47"/>
      <c r="WGP48" s="48"/>
      <c r="WGQ48" s="47"/>
      <c r="WGR48" s="62"/>
      <c r="WGS48" s="47"/>
      <c r="WGT48" s="48"/>
      <c r="WGU48" s="47"/>
      <c r="WGV48" s="62"/>
      <c r="WGW48" s="47"/>
      <c r="WGX48" s="48"/>
      <c r="WGY48" s="47"/>
      <c r="WGZ48" s="62"/>
      <c r="WHA48" s="47"/>
      <c r="WHB48" s="48"/>
      <c r="WHC48" s="47"/>
      <c r="WHD48" s="62"/>
      <c r="WHE48" s="47"/>
      <c r="WHF48" s="48"/>
      <c r="WHG48" s="47"/>
      <c r="WHH48" s="62"/>
      <c r="WHI48" s="47"/>
      <c r="WHJ48" s="48"/>
      <c r="WHK48" s="47"/>
      <c r="WHL48" s="62"/>
      <c r="WHM48" s="47"/>
      <c r="WHN48" s="48"/>
      <c r="WHO48" s="47"/>
      <c r="WHP48" s="62"/>
      <c r="WHQ48" s="47"/>
      <c r="WHR48" s="48"/>
      <c r="WHS48" s="47"/>
      <c r="WHT48" s="62"/>
      <c r="WHU48" s="47"/>
      <c r="WHV48" s="48"/>
      <c r="WHW48" s="47"/>
      <c r="WHX48" s="62"/>
      <c r="WHY48" s="47"/>
      <c r="WHZ48" s="48"/>
      <c r="WIA48" s="47"/>
      <c r="WIB48" s="62"/>
      <c r="WIC48" s="47"/>
      <c r="WID48" s="48"/>
      <c r="WIE48" s="47"/>
      <c r="WIF48" s="62"/>
      <c r="WIG48" s="47"/>
      <c r="WIH48" s="48"/>
      <c r="WII48" s="47"/>
      <c r="WIJ48" s="62"/>
      <c r="WIK48" s="47"/>
      <c r="WIL48" s="48"/>
      <c r="WIM48" s="47"/>
      <c r="WIN48" s="62"/>
      <c r="WIO48" s="47"/>
      <c r="WIP48" s="48"/>
      <c r="WIQ48" s="47"/>
      <c r="WIR48" s="62"/>
      <c r="WIS48" s="47"/>
      <c r="WIT48" s="48"/>
      <c r="WIU48" s="47"/>
      <c r="WIV48" s="62"/>
      <c r="WIW48" s="47"/>
      <c r="WIX48" s="48"/>
      <c r="WIY48" s="47"/>
      <c r="WIZ48" s="62"/>
      <c r="WJA48" s="47"/>
      <c r="WJB48" s="48"/>
      <c r="WJC48" s="47"/>
      <c r="WJD48" s="62"/>
      <c r="WJE48" s="47"/>
      <c r="WJF48" s="48"/>
      <c r="WJG48" s="47"/>
      <c r="WJH48" s="62"/>
      <c r="WJI48" s="47"/>
      <c r="WJJ48" s="48"/>
      <c r="WJK48" s="47"/>
      <c r="WJL48" s="62"/>
      <c r="WJM48" s="47"/>
      <c r="WJN48" s="48"/>
      <c r="WJO48" s="47"/>
      <c r="WJP48" s="62"/>
      <c r="WJQ48" s="47"/>
      <c r="WJR48" s="48"/>
      <c r="WJS48" s="47"/>
      <c r="WJT48" s="62"/>
      <c r="WJU48" s="47"/>
      <c r="WJV48" s="48"/>
      <c r="WJW48" s="47"/>
      <c r="WJX48" s="62"/>
      <c r="WJY48" s="47"/>
      <c r="WJZ48" s="48"/>
      <c r="WKA48" s="47"/>
      <c r="WKB48" s="62"/>
      <c r="WKC48" s="47"/>
      <c r="WKD48" s="48"/>
      <c r="WKE48" s="47"/>
      <c r="WKF48" s="62"/>
      <c r="WKG48" s="47"/>
      <c r="WKH48" s="48"/>
      <c r="WKI48" s="47"/>
      <c r="WKJ48" s="62"/>
      <c r="WKK48" s="47"/>
      <c r="WKL48" s="48"/>
      <c r="WKM48" s="47"/>
      <c r="WKN48" s="62"/>
      <c r="WKO48" s="47"/>
      <c r="WKP48" s="48"/>
      <c r="WKQ48" s="47"/>
      <c r="WKR48" s="62"/>
      <c r="WKS48" s="47"/>
      <c r="WKT48" s="48"/>
      <c r="WKU48" s="47"/>
      <c r="WKV48" s="62"/>
      <c r="WKW48" s="47"/>
      <c r="WKX48" s="48"/>
      <c r="WKY48" s="47"/>
      <c r="WKZ48" s="62"/>
      <c r="WLA48" s="47"/>
      <c r="WLB48" s="48"/>
      <c r="WLC48" s="47"/>
      <c r="WLD48" s="62"/>
      <c r="WLE48" s="47"/>
      <c r="WLF48" s="48"/>
      <c r="WLG48" s="47"/>
      <c r="WLH48" s="62"/>
      <c r="WLI48" s="47"/>
      <c r="WLJ48" s="48"/>
      <c r="WLK48" s="47"/>
      <c r="WLL48" s="62"/>
      <c r="WLM48" s="47"/>
      <c r="WLN48" s="48"/>
      <c r="WLO48" s="47"/>
      <c r="WLP48" s="62"/>
      <c r="WLQ48" s="47"/>
      <c r="WLR48" s="48"/>
      <c r="WLS48" s="47"/>
      <c r="WLT48" s="62"/>
      <c r="WLU48" s="47"/>
      <c r="WLV48" s="48"/>
      <c r="WLW48" s="47"/>
      <c r="WLX48" s="62"/>
      <c r="WLY48" s="47"/>
      <c r="WLZ48" s="48"/>
      <c r="WMA48" s="47"/>
      <c r="WMB48" s="62"/>
      <c r="WMC48" s="47"/>
      <c r="WMD48" s="48"/>
      <c r="WME48" s="47"/>
      <c r="WMF48" s="62"/>
      <c r="WMG48" s="47"/>
      <c r="WMH48" s="48"/>
      <c r="WMI48" s="47"/>
      <c r="WMJ48" s="62"/>
      <c r="WMK48" s="47"/>
      <c r="WML48" s="48"/>
      <c r="WMM48" s="47"/>
      <c r="WMN48" s="62"/>
      <c r="WMO48" s="47"/>
      <c r="WMP48" s="48"/>
      <c r="WMQ48" s="47"/>
      <c r="WMR48" s="62"/>
      <c r="WMS48" s="47"/>
      <c r="WMT48" s="48"/>
      <c r="WMU48" s="47"/>
      <c r="WMV48" s="62"/>
      <c r="WMW48" s="47"/>
      <c r="WMX48" s="48"/>
      <c r="WMY48" s="47"/>
      <c r="WMZ48" s="62"/>
      <c r="WNA48" s="47"/>
      <c r="WNB48" s="48"/>
      <c r="WNC48" s="47"/>
      <c r="WND48" s="62"/>
      <c r="WNE48" s="47"/>
      <c r="WNF48" s="48"/>
      <c r="WNG48" s="47"/>
      <c r="WNH48" s="62"/>
      <c r="WNI48" s="47"/>
      <c r="WNJ48" s="48"/>
      <c r="WNK48" s="47"/>
      <c r="WNL48" s="62"/>
      <c r="WNM48" s="47"/>
      <c r="WNN48" s="48"/>
      <c r="WNO48" s="47"/>
      <c r="WNP48" s="62"/>
      <c r="WNQ48" s="47"/>
      <c r="WNR48" s="48"/>
      <c r="WNS48" s="47"/>
      <c r="WNT48" s="62"/>
      <c r="WNU48" s="47"/>
      <c r="WNV48" s="48"/>
      <c r="WNW48" s="47"/>
      <c r="WNX48" s="62"/>
      <c r="WNY48" s="47"/>
      <c r="WNZ48" s="48"/>
      <c r="WOA48" s="47"/>
      <c r="WOB48" s="62"/>
      <c r="WOC48" s="47"/>
      <c r="WOD48" s="48"/>
      <c r="WOE48" s="47"/>
      <c r="WOF48" s="62"/>
      <c r="WOG48" s="47"/>
      <c r="WOH48" s="48"/>
      <c r="WOI48" s="47"/>
      <c r="WOJ48" s="62"/>
      <c r="WOK48" s="47"/>
      <c r="WOL48" s="48"/>
      <c r="WOM48" s="47"/>
      <c r="WON48" s="62"/>
      <c r="WOO48" s="47"/>
      <c r="WOP48" s="48"/>
      <c r="WOQ48" s="47"/>
      <c r="WOR48" s="62"/>
      <c r="WOS48" s="47"/>
      <c r="WOT48" s="48"/>
      <c r="WOU48" s="47"/>
      <c r="WOV48" s="62"/>
      <c r="WOW48" s="47"/>
      <c r="WOX48" s="48"/>
      <c r="WOY48" s="47"/>
      <c r="WOZ48" s="62"/>
      <c r="WPA48" s="47"/>
      <c r="WPB48" s="48"/>
      <c r="WPC48" s="47"/>
      <c r="WPD48" s="62"/>
      <c r="WPE48" s="47"/>
      <c r="WPF48" s="48"/>
      <c r="WPG48" s="47"/>
      <c r="WPH48" s="62"/>
      <c r="WPI48" s="47"/>
      <c r="WPJ48" s="48"/>
      <c r="WPK48" s="47"/>
      <c r="WPL48" s="62"/>
      <c r="WPM48" s="47"/>
      <c r="WPN48" s="48"/>
      <c r="WPO48" s="47"/>
      <c r="WPP48" s="62"/>
      <c r="WPQ48" s="47"/>
      <c r="WPR48" s="48"/>
      <c r="WPS48" s="47"/>
      <c r="WPT48" s="62"/>
      <c r="WPU48" s="47"/>
      <c r="WPV48" s="48"/>
      <c r="WPW48" s="47"/>
      <c r="WPX48" s="62"/>
      <c r="WPY48" s="47"/>
      <c r="WPZ48" s="48"/>
      <c r="WQA48" s="47"/>
      <c r="WQB48" s="62"/>
      <c r="WQC48" s="47"/>
      <c r="WQD48" s="48"/>
      <c r="WQE48" s="47"/>
      <c r="WQF48" s="62"/>
      <c r="WQG48" s="47"/>
      <c r="WQH48" s="48"/>
      <c r="WQI48" s="47"/>
      <c r="WQJ48" s="62"/>
      <c r="WQK48" s="47"/>
      <c r="WQL48" s="48"/>
      <c r="WQM48" s="47"/>
      <c r="WQN48" s="62"/>
      <c r="WQO48" s="47"/>
      <c r="WQP48" s="48"/>
      <c r="WQQ48" s="47"/>
      <c r="WQR48" s="62"/>
      <c r="WQS48" s="47"/>
      <c r="WQT48" s="48"/>
      <c r="WQU48" s="47"/>
      <c r="WQV48" s="62"/>
      <c r="WQW48" s="47"/>
      <c r="WQX48" s="48"/>
      <c r="WQY48" s="47"/>
      <c r="WQZ48" s="62"/>
      <c r="WRA48" s="47"/>
      <c r="WRB48" s="48"/>
      <c r="WRC48" s="47"/>
      <c r="WRD48" s="62"/>
      <c r="WRE48" s="47"/>
      <c r="WRF48" s="48"/>
      <c r="WRG48" s="47"/>
      <c r="WRH48" s="62"/>
      <c r="WRI48" s="47"/>
      <c r="WRJ48" s="48"/>
      <c r="WRK48" s="47"/>
      <c r="WRL48" s="62"/>
      <c r="WRM48" s="47"/>
      <c r="WRN48" s="48"/>
      <c r="WRO48" s="47"/>
      <c r="WRP48" s="62"/>
      <c r="WRQ48" s="47"/>
      <c r="WRR48" s="48"/>
      <c r="WRS48" s="47"/>
      <c r="WRT48" s="62"/>
      <c r="WRU48" s="47"/>
      <c r="WRV48" s="48"/>
      <c r="WRW48" s="47"/>
      <c r="WRX48" s="62"/>
      <c r="WRY48" s="47"/>
      <c r="WRZ48" s="48"/>
      <c r="WSA48" s="47"/>
      <c r="WSB48" s="62"/>
      <c r="WSC48" s="47"/>
      <c r="WSD48" s="48"/>
      <c r="WSE48" s="47"/>
      <c r="WSF48" s="62"/>
      <c r="WSG48" s="47"/>
      <c r="WSH48" s="48"/>
      <c r="WSI48" s="47"/>
      <c r="WSJ48" s="62"/>
      <c r="WSK48" s="47"/>
      <c r="WSL48" s="48"/>
      <c r="WSM48" s="47"/>
      <c r="WSN48" s="62"/>
      <c r="WSO48" s="47"/>
      <c r="WSP48" s="48"/>
      <c r="WSQ48" s="47"/>
      <c r="WSR48" s="62"/>
      <c r="WSS48" s="47"/>
      <c r="WST48" s="48"/>
      <c r="WSU48" s="47"/>
      <c r="WSV48" s="62"/>
      <c r="WSW48" s="47"/>
      <c r="WSX48" s="48"/>
      <c r="WSY48" s="47"/>
      <c r="WSZ48" s="62"/>
      <c r="WTA48" s="47"/>
      <c r="WTB48" s="48"/>
      <c r="WTC48" s="47"/>
      <c r="WTD48" s="62"/>
      <c r="WTE48" s="47"/>
      <c r="WTF48" s="48"/>
      <c r="WTG48" s="47"/>
      <c r="WTH48" s="62"/>
      <c r="WTI48" s="47"/>
      <c r="WTJ48" s="48"/>
      <c r="WTK48" s="47"/>
      <c r="WTL48" s="62"/>
      <c r="WTM48" s="47"/>
      <c r="WTN48" s="48"/>
      <c r="WTO48" s="47"/>
      <c r="WTP48" s="62"/>
      <c r="WTQ48" s="47"/>
      <c r="WTR48" s="48"/>
      <c r="WTS48" s="47"/>
      <c r="WTT48" s="62"/>
      <c r="WTU48" s="47"/>
      <c r="WTV48" s="48"/>
      <c r="WTW48" s="47"/>
      <c r="WTX48" s="62"/>
      <c r="WTY48" s="47"/>
      <c r="WTZ48" s="48"/>
      <c r="WUA48" s="47"/>
      <c r="WUB48" s="62"/>
      <c r="WUC48" s="47"/>
      <c r="WUD48" s="48"/>
      <c r="WUE48" s="47"/>
      <c r="WUF48" s="62"/>
      <c r="WUG48" s="47"/>
      <c r="WUH48" s="48"/>
      <c r="WUI48" s="47"/>
      <c r="WUJ48" s="62"/>
      <c r="WUK48" s="47"/>
      <c r="WUL48" s="48"/>
      <c r="WUM48" s="47"/>
      <c r="WUN48" s="62"/>
      <c r="WUO48" s="47"/>
      <c r="WUP48" s="48"/>
      <c r="WUQ48" s="47"/>
      <c r="WUR48" s="62"/>
      <c r="WUS48" s="47"/>
      <c r="WUT48" s="48"/>
      <c r="WUU48" s="47"/>
      <c r="WUV48" s="62"/>
      <c r="WUW48" s="47"/>
      <c r="WUX48" s="48"/>
      <c r="WUY48" s="47"/>
      <c r="WUZ48" s="62"/>
      <c r="WVA48" s="47"/>
      <c r="WVB48" s="48"/>
      <c r="WVC48" s="47"/>
      <c r="WVD48" s="62"/>
      <c r="WVE48" s="47"/>
      <c r="WVF48" s="48"/>
      <c r="WVG48" s="47"/>
      <c r="WVH48" s="62"/>
      <c r="WVI48" s="47"/>
      <c r="WVJ48" s="48"/>
      <c r="WVK48" s="47"/>
      <c r="WVL48" s="62"/>
      <c r="WVM48" s="47"/>
      <c r="WVN48" s="48"/>
      <c r="WVO48" s="47"/>
      <c r="WVP48" s="62"/>
      <c r="WVQ48" s="47"/>
      <c r="WVR48" s="48"/>
      <c r="WVS48" s="47"/>
      <c r="WVT48" s="62"/>
      <c r="WVU48" s="47"/>
      <c r="WVV48" s="48"/>
      <c r="WVW48" s="47"/>
      <c r="WVX48" s="62"/>
      <c r="WVY48" s="47"/>
      <c r="WVZ48" s="48"/>
      <c r="WWA48" s="47"/>
      <c r="WWB48" s="62"/>
      <c r="WWC48" s="47"/>
      <c r="WWD48" s="48"/>
      <c r="WWE48" s="47"/>
      <c r="WWF48" s="62"/>
      <c r="WWG48" s="47"/>
      <c r="WWH48" s="48"/>
      <c r="WWI48" s="47"/>
      <c r="WWJ48" s="62"/>
      <c r="WWK48" s="47"/>
      <c r="WWL48" s="48"/>
      <c r="WWM48" s="47"/>
      <c r="WWN48" s="62"/>
      <c r="WWO48" s="47"/>
      <c r="WWP48" s="48"/>
      <c r="WWQ48" s="47"/>
      <c r="WWR48" s="62"/>
      <c r="WWS48" s="47"/>
      <c r="WWT48" s="48"/>
      <c r="WWU48" s="47"/>
      <c r="WWV48" s="62"/>
      <c r="WWW48" s="47"/>
      <c r="WWX48" s="48"/>
      <c r="WWY48" s="47"/>
      <c r="WWZ48" s="62"/>
      <c r="WXA48" s="47"/>
      <c r="WXB48" s="48"/>
      <c r="WXC48" s="47"/>
      <c r="WXD48" s="62"/>
      <c r="WXE48" s="47"/>
      <c r="WXF48" s="48"/>
      <c r="WXG48" s="47"/>
      <c r="WXH48" s="62"/>
      <c r="WXI48" s="47"/>
      <c r="WXJ48" s="48"/>
      <c r="WXK48" s="47"/>
      <c r="WXL48" s="62"/>
      <c r="WXM48" s="47"/>
      <c r="WXN48" s="48"/>
      <c r="WXO48" s="47"/>
      <c r="WXP48" s="62"/>
      <c r="WXQ48" s="47"/>
      <c r="WXR48" s="48"/>
      <c r="WXS48" s="47"/>
      <c r="WXT48" s="62"/>
      <c r="WXU48" s="47"/>
      <c r="WXV48" s="48"/>
      <c r="WXW48" s="47"/>
      <c r="WXX48" s="62"/>
      <c r="WXY48" s="47"/>
      <c r="WXZ48" s="48"/>
      <c r="WYA48" s="47"/>
      <c r="WYB48" s="62"/>
      <c r="WYC48" s="47"/>
      <c r="WYD48" s="48"/>
      <c r="WYE48" s="47"/>
      <c r="WYF48" s="62"/>
      <c r="WYG48" s="47"/>
      <c r="WYH48" s="48"/>
      <c r="WYI48" s="47"/>
      <c r="WYJ48" s="62"/>
      <c r="WYK48" s="47"/>
      <c r="WYL48" s="48"/>
      <c r="WYM48" s="47"/>
      <c r="WYN48" s="62"/>
      <c r="WYO48" s="47"/>
      <c r="WYP48" s="48"/>
      <c r="WYQ48" s="47"/>
      <c r="WYR48" s="62"/>
      <c r="WYS48" s="47"/>
      <c r="WYT48" s="48"/>
      <c r="WYU48" s="47"/>
      <c r="WYV48" s="62"/>
      <c r="WYW48" s="47"/>
      <c r="WYX48" s="48"/>
      <c r="WYY48" s="47"/>
      <c r="WYZ48" s="62"/>
      <c r="WZA48" s="47"/>
      <c r="WZB48" s="48"/>
      <c r="WZC48" s="47"/>
      <c r="WZD48" s="62"/>
      <c r="WZE48" s="47"/>
      <c r="WZF48" s="48"/>
      <c r="WZG48" s="47"/>
      <c r="WZH48" s="62"/>
      <c r="WZI48" s="47"/>
      <c r="WZJ48" s="48"/>
      <c r="WZK48" s="47"/>
      <c r="WZL48" s="62"/>
      <c r="WZM48" s="47"/>
      <c r="WZN48" s="48"/>
      <c r="WZO48" s="47"/>
      <c r="WZP48" s="62"/>
      <c r="WZQ48" s="47"/>
      <c r="WZR48" s="48"/>
      <c r="WZS48" s="47"/>
      <c r="WZT48" s="62"/>
      <c r="WZU48" s="47"/>
      <c r="WZV48" s="48"/>
      <c r="WZW48" s="47"/>
      <c r="WZX48" s="62"/>
      <c r="WZY48" s="47"/>
      <c r="WZZ48" s="48"/>
      <c r="XAA48" s="47"/>
      <c r="XAB48" s="62"/>
      <c r="XAC48" s="47"/>
      <c r="XAD48" s="48"/>
      <c r="XAE48" s="47"/>
      <c r="XAF48" s="62"/>
      <c r="XAG48" s="47"/>
      <c r="XAH48" s="48"/>
      <c r="XAI48" s="47"/>
      <c r="XAJ48" s="62"/>
      <c r="XAK48" s="47"/>
      <c r="XAL48" s="48"/>
      <c r="XAM48" s="47"/>
      <c r="XAN48" s="62"/>
      <c r="XAO48" s="47"/>
      <c r="XAP48" s="48"/>
      <c r="XAQ48" s="47"/>
      <c r="XAR48" s="62"/>
      <c r="XAS48" s="47"/>
      <c r="XAT48" s="48"/>
      <c r="XAU48" s="47"/>
      <c r="XAV48" s="62"/>
      <c r="XAW48" s="47"/>
      <c r="XAX48" s="48"/>
      <c r="XAY48" s="47"/>
      <c r="XAZ48" s="62"/>
      <c r="XBA48" s="47"/>
      <c r="XBB48" s="48"/>
      <c r="XBC48" s="47"/>
      <c r="XBD48" s="62"/>
      <c r="XBE48" s="47"/>
      <c r="XBF48" s="48"/>
      <c r="XBG48" s="47"/>
      <c r="XBH48" s="62"/>
      <c r="XBI48" s="47"/>
      <c r="XBJ48" s="48"/>
      <c r="XBK48" s="47"/>
      <c r="XBL48" s="62"/>
      <c r="XBM48" s="47"/>
      <c r="XBN48" s="48"/>
      <c r="XBO48" s="47"/>
      <c r="XBP48" s="62"/>
      <c r="XBQ48" s="47"/>
      <c r="XBR48" s="48"/>
      <c r="XBS48" s="47"/>
      <c r="XBT48" s="62"/>
      <c r="XBU48" s="47"/>
      <c r="XBV48" s="48"/>
      <c r="XBW48" s="47"/>
      <c r="XBX48" s="62"/>
      <c r="XBY48" s="47"/>
      <c r="XBZ48" s="48"/>
      <c r="XCA48" s="47"/>
      <c r="XCB48" s="62"/>
      <c r="XCC48" s="47"/>
      <c r="XCD48" s="48"/>
      <c r="XCE48" s="47"/>
      <c r="XCF48" s="62"/>
      <c r="XCG48" s="47"/>
      <c r="XCH48" s="48"/>
      <c r="XCI48" s="47"/>
      <c r="XCJ48" s="62"/>
      <c r="XCK48" s="47"/>
      <c r="XCL48" s="48"/>
      <c r="XCM48" s="47"/>
      <c r="XCN48" s="62"/>
      <c r="XCO48" s="47"/>
      <c r="XCP48" s="48"/>
      <c r="XCQ48" s="47"/>
      <c r="XCR48" s="62"/>
      <c r="XCS48" s="47"/>
      <c r="XCT48" s="48"/>
      <c r="XCU48" s="47"/>
      <c r="XCV48" s="62"/>
      <c r="XCW48" s="47"/>
      <c r="XCX48" s="48"/>
      <c r="XCY48" s="47"/>
      <c r="XCZ48" s="62"/>
      <c r="XDA48" s="47"/>
      <c r="XDB48" s="48"/>
      <c r="XDC48" s="47"/>
      <c r="XDD48" s="62"/>
      <c r="XDE48" s="47"/>
      <c r="XDF48" s="48"/>
      <c r="XDG48" s="47"/>
      <c r="XDH48" s="62"/>
      <c r="XDI48" s="47"/>
      <c r="XDJ48" s="48"/>
      <c r="XDK48" s="47"/>
      <c r="XDL48" s="62"/>
      <c r="XDM48" s="47"/>
      <c r="XDN48" s="48"/>
      <c r="XDO48" s="47"/>
      <c r="XDP48" s="62"/>
      <c r="XDQ48" s="47"/>
      <c r="XDR48" s="48"/>
      <c r="XDS48" s="47"/>
      <c r="XDT48" s="62"/>
      <c r="XDU48" s="47"/>
      <c r="XDV48" s="48"/>
      <c r="XDW48" s="47"/>
      <c r="XDX48" s="62"/>
      <c r="XDY48" s="47"/>
      <c r="XDZ48" s="48"/>
      <c r="XEA48" s="47"/>
      <c r="XEB48" s="62"/>
      <c r="XEC48" s="47"/>
      <c r="XED48" s="48"/>
      <c r="XEE48" s="47"/>
      <c r="XEF48" s="62"/>
      <c r="XEG48" s="47"/>
      <c r="XEH48" s="48"/>
      <c r="XEI48" s="47"/>
      <c r="XEJ48" s="62"/>
      <c r="XEK48" s="47"/>
      <c r="XEL48" s="48"/>
      <c r="XEM48" s="47"/>
      <c r="XEN48" s="62"/>
      <c r="XEO48" s="47"/>
      <c r="XEP48" s="48"/>
      <c r="XEQ48" s="47"/>
      <c r="XER48" s="62"/>
      <c r="XES48" s="47"/>
      <c r="XET48" s="48"/>
      <c r="XEU48" s="47"/>
      <c r="XEV48" s="62"/>
      <c r="XEW48" s="47"/>
      <c r="XEX48" s="48"/>
      <c r="XEY48" s="47"/>
      <c r="XEZ48" s="62"/>
      <c r="XFA48" s="47"/>
      <c r="XFB48" s="48"/>
      <c r="XFC48" s="47"/>
    </row>
    <row r="49" spans="1:114" s="3" customFormat="1" ht="8.65" customHeight="1" x14ac:dyDescent="0.15">
      <c r="A49" s="84" t="s">
        <v>5</v>
      </c>
      <c r="B49" s="84" t="s">
        <v>61</v>
      </c>
      <c r="C49" s="84" t="s">
        <v>25</v>
      </c>
      <c r="D49" s="84" t="s">
        <v>62</v>
      </c>
      <c r="E49" s="84" t="s">
        <v>59</v>
      </c>
      <c r="F49" s="87"/>
      <c r="G49" s="83"/>
      <c r="H49" s="83"/>
      <c r="I49" s="88">
        <v>2210000</v>
      </c>
      <c r="J49" s="83"/>
      <c r="K49" s="82">
        <f t="shared" si="0"/>
        <v>2210000</v>
      </c>
      <c r="L49" s="164" t="s">
        <v>551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</row>
    <row r="50" spans="1:114" s="3" customFormat="1" ht="8.65" customHeight="1" x14ac:dyDescent="0.15">
      <c r="A50" s="84" t="s">
        <v>5</v>
      </c>
      <c r="B50" s="84" t="s">
        <v>63</v>
      </c>
      <c r="C50" s="84" t="s">
        <v>64</v>
      </c>
      <c r="D50" s="84" t="s">
        <v>65</v>
      </c>
      <c r="E50" s="84" t="s">
        <v>59</v>
      </c>
      <c r="F50" s="87"/>
      <c r="G50" s="83"/>
      <c r="H50" s="83"/>
      <c r="I50" s="88">
        <v>500000</v>
      </c>
      <c r="J50" s="83"/>
      <c r="K50" s="82">
        <f t="shared" si="0"/>
        <v>500000</v>
      </c>
      <c r="L50" s="164" t="s">
        <v>551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</row>
    <row r="51" spans="1:114" s="120" customFormat="1" ht="10.15" customHeight="1" x14ac:dyDescent="0.15">
      <c r="A51" s="259" t="s">
        <v>66</v>
      </c>
      <c r="B51" s="259"/>
      <c r="C51" s="259"/>
      <c r="D51" s="259"/>
      <c r="E51" s="259"/>
      <c r="F51" s="259"/>
      <c r="G51" s="96"/>
      <c r="H51" s="97"/>
      <c r="I51" s="94">
        <f>SUM(I46:I50)</f>
        <v>44825600</v>
      </c>
      <c r="J51" s="94">
        <f>SUM(J46:J50)</f>
        <v>3509230.8899999997</v>
      </c>
      <c r="K51" s="94">
        <f>SUM(K46:K50)</f>
        <v>41316369.109999999</v>
      </c>
      <c r="L51" s="161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</row>
    <row r="52" spans="1:114" s="3" customFormat="1" ht="8.65" customHeight="1" x14ac:dyDescent="0.15">
      <c r="A52" s="18" t="s">
        <v>5</v>
      </c>
      <c r="B52" s="18" t="s">
        <v>67</v>
      </c>
      <c r="C52" s="18" t="s">
        <v>68</v>
      </c>
      <c r="D52" s="18" t="s">
        <v>69</v>
      </c>
      <c r="E52" s="18" t="s">
        <v>70</v>
      </c>
      <c r="F52" s="18" t="s">
        <v>71</v>
      </c>
      <c r="G52" s="18"/>
      <c r="H52" s="18"/>
      <c r="I52" s="51">
        <v>130000</v>
      </c>
      <c r="J52" s="18"/>
      <c r="K52" s="18">
        <f>+I52-J52</f>
        <v>130000</v>
      </c>
      <c r="L52" s="164" t="s">
        <v>551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</row>
    <row r="53" spans="1:114" s="3" customFormat="1" ht="8.65" customHeight="1" x14ac:dyDescent="0.15">
      <c r="A53" s="18" t="s">
        <v>5</v>
      </c>
      <c r="B53" s="18" t="s">
        <v>72</v>
      </c>
      <c r="C53" s="18" t="s">
        <v>73</v>
      </c>
      <c r="D53" s="18" t="s">
        <v>74</v>
      </c>
      <c r="E53" s="18" t="s">
        <v>70</v>
      </c>
      <c r="F53" s="18"/>
      <c r="G53" s="18"/>
      <c r="H53" s="18"/>
      <c r="I53" s="51">
        <v>2000000</v>
      </c>
      <c r="J53" s="18"/>
      <c r="K53" s="18">
        <f t="shared" ref="K53:K59" si="1">+I53-J53</f>
        <v>2000000</v>
      </c>
      <c r="L53" s="164" t="s">
        <v>551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</row>
    <row r="54" spans="1:114" s="3" customFormat="1" ht="8.65" customHeight="1" x14ac:dyDescent="0.15">
      <c r="A54" s="18" t="s">
        <v>5</v>
      </c>
      <c r="B54" s="18" t="s">
        <v>75</v>
      </c>
      <c r="C54" s="18" t="s">
        <v>73</v>
      </c>
      <c r="D54" s="18" t="s">
        <v>76</v>
      </c>
      <c r="E54" s="18" t="s">
        <v>70</v>
      </c>
      <c r="F54" s="18"/>
      <c r="G54" s="18"/>
      <c r="H54" s="18"/>
      <c r="I54" s="51">
        <v>130000</v>
      </c>
      <c r="J54" s="18"/>
      <c r="K54" s="18">
        <f t="shared" si="1"/>
        <v>130000</v>
      </c>
      <c r="L54" s="164" t="s">
        <v>551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</row>
    <row r="55" spans="1:114" s="3" customFormat="1" ht="8.65" customHeight="1" x14ac:dyDescent="0.15">
      <c r="A55" s="18" t="s">
        <v>5</v>
      </c>
      <c r="B55" s="18" t="s">
        <v>77</v>
      </c>
      <c r="C55" s="18" t="s">
        <v>78</v>
      </c>
      <c r="D55" s="18" t="s">
        <v>79</v>
      </c>
      <c r="E55" s="18" t="s">
        <v>70</v>
      </c>
      <c r="F55" s="18"/>
      <c r="G55" s="18"/>
      <c r="H55" s="18"/>
      <c r="I55" s="51">
        <v>4000000</v>
      </c>
      <c r="J55" s="18">
        <v>469783.13</v>
      </c>
      <c r="K55" s="18">
        <f t="shared" si="1"/>
        <v>3530216.87</v>
      </c>
      <c r="L55" s="162">
        <v>6104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</row>
    <row r="56" spans="1:114" s="9" customFormat="1" ht="8.65" customHeight="1" x14ac:dyDescent="0.15">
      <c r="A56" s="18" t="s">
        <v>5</v>
      </c>
      <c r="B56" s="18" t="s">
        <v>401</v>
      </c>
      <c r="C56" s="18" t="s">
        <v>48</v>
      </c>
      <c r="D56" s="18" t="s">
        <v>402</v>
      </c>
      <c r="E56" s="18" t="s">
        <v>70</v>
      </c>
      <c r="F56" s="18"/>
      <c r="G56" s="18">
        <v>3500000</v>
      </c>
      <c r="H56" s="18"/>
      <c r="I56" s="51">
        <f>+G56</f>
        <v>3500000</v>
      </c>
      <c r="J56" s="18">
        <v>2625903.34</v>
      </c>
      <c r="K56" s="18">
        <f t="shared" si="1"/>
        <v>874096.66000000015</v>
      </c>
      <c r="L56" s="162" t="s">
        <v>403</v>
      </c>
    </row>
    <row r="57" spans="1:114" s="3" customFormat="1" ht="8.65" customHeight="1" x14ac:dyDescent="0.15">
      <c r="A57" s="18" t="s">
        <v>5</v>
      </c>
      <c r="B57" s="18" t="s">
        <v>80</v>
      </c>
      <c r="C57" s="18" t="s">
        <v>28</v>
      </c>
      <c r="D57" s="18" t="s">
        <v>81</v>
      </c>
      <c r="E57" s="18" t="s">
        <v>70</v>
      </c>
      <c r="F57" s="18"/>
      <c r="G57" s="18"/>
      <c r="H57" s="18"/>
      <c r="I57" s="51">
        <v>10000000</v>
      </c>
      <c r="J57" s="18"/>
      <c r="K57" s="18">
        <f t="shared" si="1"/>
        <v>10000000</v>
      </c>
      <c r="L57" s="164" t="s">
        <v>551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</row>
    <row r="58" spans="1:114" s="3" customFormat="1" ht="8.65" customHeight="1" x14ac:dyDescent="0.15">
      <c r="A58" s="18" t="s">
        <v>5</v>
      </c>
      <c r="B58" s="18" t="s">
        <v>27</v>
      </c>
      <c r="C58" s="18" t="s">
        <v>28</v>
      </c>
      <c r="D58" s="18" t="s">
        <v>82</v>
      </c>
      <c r="E58" s="18" t="s">
        <v>70</v>
      </c>
      <c r="F58" s="18"/>
      <c r="G58" s="18"/>
      <c r="H58" s="18"/>
      <c r="I58" s="51">
        <v>5500000</v>
      </c>
      <c r="J58" s="18">
        <v>1688785</v>
      </c>
      <c r="K58" s="18">
        <f t="shared" si="1"/>
        <v>3811215</v>
      </c>
      <c r="L58" s="162">
        <v>6147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</row>
    <row r="59" spans="1:114" s="3" customFormat="1" ht="8.65" customHeight="1" x14ac:dyDescent="0.15">
      <c r="A59" s="18" t="s">
        <v>5</v>
      </c>
      <c r="B59" s="18" t="s">
        <v>38</v>
      </c>
      <c r="C59" s="18" t="s">
        <v>36</v>
      </c>
      <c r="D59" s="18" t="s">
        <v>39</v>
      </c>
      <c r="E59" s="18" t="s">
        <v>70</v>
      </c>
      <c r="F59" s="18"/>
      <c r="G59" s="18"/>
      <c r="H59" s="51">
        <v>150000</v>
      </c>
      <c r="I59" s="51">
        <v>0</v>
      </c>
      <c r="J59" s="18"/>
      <c r="K59" s="18">
        <f t="shared" si="1"/>
        <v>0</v>
      </c>
      <c r="L59" s="164" t="s">
        <v>551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</row>
    <row r="60" spans="1:114" s="120" customFormat="1" ht="10.15" customHeight="1" x14ac:dyDescent="0.15">
      <c r="A60" s="257" t="s">
        <v>83</v>
      </c>
      <c r="B60" s="257"/>
      <c r="C60" s="257"/>
      <c r="D60" s="257"/>
      <c r="E60" s="257"/>
      <c r="F60" s="257"/>
      <c r="G60" s="92"/>
      <c r="H60" s="93"/>
      <c r="I60" s="94">
        <f>+I58+I57+I56+I55+I54+I53+I52</f>
        <v>25260000</v>
      </c>
      <c r="J60" s="94">
        <f>+J59+J58+J57+J56+J55+J54+J53+J52</f>
        <v>4784471.47</v>
      </c>
      <c r="K60" s="94">
        <f>SUM(K52:K59)</f>
        <v>20475528.530000001</v>
      </c>
      <c r="L60" s="163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</row>
    <row r="61" spans="1:114" s="3" customFormat="1" ht="8.65" customHeight="1" x14ac:dyDescent="0.15">
      <c r="A61" s="20" t="s">
        <v>5</v>
      </c>
      <c r="B61" s="18" t="s">
        <v>433</v>
      </c>
      <c r="C61" s="18" t="s">
        <v>92</v>
      </c>
      <c r="D61" s="18" t="s">
        <v>132</v>
      </c>
      <c r="E61" s="15" t="s">
        <v>85</v>
      </c>
      <c r="F61" s="45" t="s">
        <v>531</v>
      </c>
      <c r="G61" s="15"/>
      <c r="H61" s="15"/>
      <c r="I61" s="10">
        <v>2300000</v>
      </c>
      <c r="J61" s="15">
        <v>110160</v>
      </c>
      <c r="K61" s="15">
        <f>+I61-J61</f>
        <v>2189840</v>
      </c>
      <c r="L61" s="165">
        <v>6307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</row>
    <row r="62" spans="1:114" s="9" customFormat="1" ht="8.65" customHeight="1" x14ac:dyDescent="0.15">
      <c r="A62" s="18" t="s">
        <v>5</v>
      </c>
      <c r="B62" s="18" t="s">
        <v>75</v>
      </c>
      <c r="C62" s="18" t="s">
        <v>73</v>
      </c>
      <c r="D62" s="18" t="s">
        <v>76</v>
      </c>
      <c r="E62" s="18" t="s">
        <v>85</v>
      </c>
      <c r="F62" s="18"/>
      <c r="G62" s="18"/>
      <c r="H62" s="18"/>
      <c r="I62" s="51">
        <v>515000</v>
      </c>
      <c r="J62" s="18"/>
      <c r="K62" s="18">
        <f>+I62-J62</f>
        <v>515000</v>
      </c>
      <c r="L62" s="164" t="s">
        <v>551</v>
      </c>
    </row>
    <row r="63" spans="1:114" s="120" customFormat="1" ht="10.15" customHeight="1" x14ac:dyDescent="0.15">
      <c r="A63" s="257" t="s">
        <v>86</v>
      </c>
      <c r="B63" s="257"/>
      <c r="C63" s="257"/>
      <c r="D63" s="257"/>
      <c r="E63" s="257"/>
      <c r="F63" s="257"/>
      <c r="G63" s="92"/>
      <c r="H63" s="93"/>
      <c r="I63" s="94">
        <f>+I62+I61</f>
        <v>2815000</v>
      </c>
      <c r="J63" s="94">
        <f>+J62+J61</f>
        <v>110160</v>
      </c>
      <c r="K63" s="94">
        <f>SUM(K61:K62)</f>
        <v>2704840</v>
      </c>
      <c r="L63" s="163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</row>
    <row r="64" spans="1:114" s="9" customFormat="1" ht="10.15" customHeight="1" x14ac:dyDescent="0.15">
      <c r="A64" s="44" t="s">
        <v>5</v>
      </c>
      <c r="B64" s="44" t="s">
        <v>131</v>
      </c>
      <c r="C64" s="44" t="s">
        <v>92</v>
      </c>
      <c r="D64" s="44" t="s">
        <v>132</v>
      </c>
      <c r="E64" s="44" t="s">
        <v>436</v>
      </c>
      <c r="F64" s="15" t="s">
        <v>438</v>
      </c>
      <c r="G64" s="34"/>
      <c r="H64" s="35"/>
      <c r="I64" s="36">
        <v>500000</v>
      </c>
      <c r="J64" s="2"/>
      <c r="K64" s="18">
        <f>+I64-J64</f>
        <v>500000</v>
      </c>
      <c r="L64" s="164" t="s">
        <v>551</v>
      </c>
    </row>
    <row r="65" spans="1:114" s="120" customFormat="1" ht="10.15" customHeight="1" x14ac:dyDescent="0.15">
      <c r="A65" s="259" t="s">
        <v>437</v>
      </c>
      <c r="B65" s="259"/>
      <c r="C65" s="259"/>
      <c r="D65" s="259"/>
      <c r="E65" s="259"/>
      <c r="F65" s="100"/>
      <c r="G65" s="96"/>
      <c r="H65" s="97"/>
      <c r="I65" s="94">
        <v>500000</v>
      </c>
      <c r="J65" s="94">
        <f>+J64</f>
        <v>0</v>
      </c>
      <c r="K65" s="94">
        <f>SUM(K64)</f>
        <v>500000</v>
      </c>
      <c r="L65" s="161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</row>
    <row r="66" spans="1:114" s="9" customFormat="1" ht="10.15" customHeight="1" x14ac:dyDescent="0.15">
      <c r="A66" s="15" t="s">
        <v>5</v>
      </c>
      <c r="B66" s="15" t="s">
        <v>131</v>
      </c>
      <c r="C66" s="15" t="s">
        <v>92</v>
      </c>
      <c r="D66" s="15" t="s">
        <v>132</v>
      </c>
      <c r="E66" s="15" t="s">
        <v>441</v>
      </c>
      <c r="F66" s="15" t="s">
        <v>440</v>
      </c>
      <c r="G66" s="60"/>
      <c r="H66" s="61"/>
      <c r="I66" s="36">
        <v>300000</v>
      </c>
      <c r="J66" s="18"/>
      <c r="K66" s="18">
        <f>+I66-J66</f>
        <v>300000</v>
      </c>
      <c r="L66" s="164" t="s">
        <v>551</v>
      </c>
    </row>
    <row r="67" spans="1:114" s="120" customFormat="1" ht="10.15" customHeight="1" x14ac:dyDescent="0.15">
      <c r="A67" s="257" t="s">
        <v>439</v>
      </c>
      <c r="B67" s="257"/>
      <c r="C67" s="257"/>
      <c r="D67" s="257"/>
      <c r="E67" s="257"/>
      <c r="F67" s="93"/>
      <c r="G67" s="92"/>
      <c r="H67" s="93"/>
      <c r="I67" s="94">
        <v>300000</v>
      </c>
      <c r="J67" s="94">
        <f>+J66</f>
        <v>0</v>
      </c>
      <c r="K67" s="94">
        <f>SUM(K66)</f>
        <v>300000</v>
      </c>
      <c r="L67" s="163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</row>
    <row r="68" spans="1:114" s="9" customFormat="1" ht="8.65" customHeight="1" x14ac:dyDescent="0.15">
      <c r="A68" s="8" t="s">
        <v>5</v>
      </c>
      <c r="B68" s="8" t="s">
        <v>87</v>
      </c>
      <c r="C68" s="8" t="s">
        <v>28</v>
      </c>
      <c r="D68" s="8" t="s">
        <v>88</v>
      </c>
      <c r="E68" s="8" t="s">
        <v>89</v>
      </c>
      <c r="F68" s="18" t="s">
        <v>90</v>
      </c>
      <c r="G68" s="2"/>
      <c r="H68" s="2"/>
      <c r="I68" s="51">
        <v>450000</v>
      </c>
      <c r="J68" s="2"/>
      <c r="K68" s="18">
        <f>+I68-J68</f>
        <v>450000</v>
      </c>
      <c r="L68" s="164" t="s">
        <v>551</v>
      </c>
    </row>
    <row r="69" spans="1:114" s="9" customFormat="1" ht="8.65" customHeight="1" x14ac:dyDescent="0.15">
      <c r="A69" s="8" t="s">
        <v>5</v>
      </c>
      <c r="B69" s="8" t="s">
        <v>91</v>
      </c>
      <c r="C69" s="8" t="s">
        <v>92</v>
      </c>
      <c r="D69" s="8" t="s">
        <v>93</v>
      </c>
      <c r="E69" s="8" t="s">
        <v>89</v>
      </c>
      <c r="F69" s="18"/>
      <c r="G69" s="2"/>
      <c r="H69" s="2"/>
      <c r="I69" s="51">
        <v>3500000</v>
      </c>
      <c r="J69" s="18">
        <v>2323968</v>
      </c>
      <c r="K69" s="18">
        <f t="shared" ref="K69:K80" si="2">+I69-J69</f>
        <v>1176032</v>
      </c>
      <c r="L69" s="160" t="s">
        <v>506</v>
      </c>
    </row>
    <row r="70" spans="1:114" s="9" customFormat="1" ht="8.65" customHeight="1" x14ac:dyDescent="0.15">
      <c r="A70" s="8" t="s">
        <v>5</v>
      </c>
      <c r="B70" s="8" t="s">
        <v>94</v>
      </c>
      <c r="C70" s="8" t="s">
        <v>95</v>
      </c>
      <c r="D70" s="8" t="s">
        <v>96</v>
      </c>
      <c r="E70" s="8" t="s">
        <v>89</v>
      </c>
      <c r="F70" s="18"/>
      <c r="G70" s="18">
        <v>1000000</v>
      </c>
      <c r="H70" s="18"/>
      <c r="I70" s="51">
        <f>5000000+G70</f>
        <v>6000000</v>
      </c>
      <c r="J70" s="18"/>
      <c r="K70" s="18">
        <f t="shared" si="2"/>
        <v>6000000</v>
      </c>
      <c r="L70" s="164" t="s">
        <v>551</v>
      </c>
    </row>
    <row r="71" spans="1:114" s="9" customFormat="1" ht="8.65" customHeight="1" x14ac:dyDescent="0.15">
      <c r="A71" s="8" t="s">
        <v>5</v>
      </c>
      <c r="B71" s="8" t="s">
        <v>97</v>
      </c>
      <c r="C71" s="8" t="s">
        <v>98</v>
      </c>
      <c r="D71" s="8" t="s">
        <v>99</v>
      </c>
      <c r="E71" s="8" t="s">
        <v>89</v>
      </c>
      <c r="F71" s="18"/>
      <c r="G71" s="18"/>
      <c r="H71" s="18">
        <v>400000</v>
      </c>
      <c r="I71" s="51">
        <f>8712000-H71</f>
        <v>8312000</v>
      </c>
      <c r="J71" s="18"/>
      <c r="K71" s="18">
        <f t="shared" si="2"/>
        <v>8312000</v>
      </c>
      <c r="L71" s="160" t="s">
        <v>410</v>
      </c>
    </row>
    <row r="72" spans="1:114" s="9" customFormat="1" ht="8.65" customHeight="1" x14ac:dyDescent="0.15">
      <c r="A72" s="8" t="s">
        <v>5</v>
      </c>
      <c r="B72" s="8" t="s">
        <v>100</v>
      </c>
      <c r="C72" s="8" t="s">
        <v>101</v>
      </c>
      <c r="D72" s="8" t="s">
        <v>102</v>
      </c>
      <c r="E72" s="8" t="s">
        <v>89</v>
      </c>
      <c r="F72" s="18"/>
      <c r="G72" s="18"/>
      <c r="H72" s="18"/>
      <c r="I72" s="51">
        <v>5600000</v>
      </c>
      <c r="J72" s="18"/>
      <c r="K72" s="18">
        <f t="shared" si="2"/>
        <v>5600000</v>
      </c>
      <c r="L72" s="164" t="s">
        <v>551</v>
      </c>
    </row>
    <row r="73" spans="1:114" s="9" customFormat="1" ht="8.65" customHeight="1" x14ac:dyDescent="0.15">
      <c r="A73" s="8" t="s">
        <v>5</v>
      </c>
      <c r="B73" s="8" t="s">
        <v>103</v>
      </c>
      <c r="C73" s="8" t="s">
        <v>64</v>
      </c>
      <c r="D73" s="8" t="s">
        <v>104</v>
      </c>
      <c r="E73" s="8" t="s">
        <v>89</v>
      </c>
      <c r="F73" s="18"/>
      <c r="G73" s="18"/>
      <c r="H73" s="18">
        <v>7000000</v>
      </c>
      <c r="I73" s="51">
        <v>0</v>
      </c>
      <c r="J73" s="18"/>
      <c r="K73" s="18">
        <f t="shared" si="2"/>
        <v>0</v>
      </c>
      <c r="L73" s="164" t="s">
        <v>551</v>
      </c>
    </row>
    <row r="74" spans="1:114" s="9" customFormat="1" ht="8.65" customHeight="1" x14ac:dyDescent="0.15">
      <c r="A74" s="8" t="s">
        <v>5</v>
      </c>
      <c r="B74" s="8" t="s">
        <v>38</v>
      </c>
      <c r="C74" s="8" t="s">
        <v>36</v>
      </c>
      <c r="D74" s="8" t="s">
        <v>39</v>
      </c>
      <c r="E74" s="8" t="s">
        <v>89</v>
      </c>
      <c r="F74" s="18"/>
      <c r="G74" s="18"/>
      <c r="H74" s="18">
        <v>10525</v>
      </c>
      <c r="I74" s="51">
        <f>330525-H74</f>
        <v>320000</v>
      </c>
      <c r="J74" s="18"/>
      <c r="K74" s="18">
        <f t="shared" si="2"/>
        <v>320000</v>
      </c>
      <c r="L74" s="164" t="s">
        <v>551</v>
      </c>
    </row>
    <row r="75" spans="1:114" s="9" customFormat="1" ht="8.65" customHeight="1" x14ac:dyDescent="0.15">
      <c r="A75" s="8" t="s">
        <v>5</v>
      </c>
      <c r="B75" s="8" t="s">
        <v>105</v>
      </c>
      <c r="C75" s="8" t="s">
        <v>31</v>
      </c>
      <c r="D75" s="8" t="s">
        <v>106</v>
      </c>
      <c r="E75" s="8" t="s">
        <v>89</v>
      </c>
      <c r="F75" s="18"/>
      <c r="G75" s="18">
        <v>250000</v>
      </c>
      <c r="H75" s="18"/>
      <c r="I75" s="51">
        <f>3600000+G75</f>
        <v>3850000</v>
      </c>
      <c r="J75" s="18">
        <v>3847650</v>
      </c>
      <c r="K75" s="18">
        <f t="shared" si="2"/>
        <v>2350</v>
      </c>
      <c r="L75" s="160" t="s">
        <v>632</v>
      </c>
    </row>
    <row r="76" spans="1:114" s="9" customFormat="1" ht="8.65" customHeight="1" x14ac:dyDescent="0.15">
      <c r="A76" s="8" t="s">
        <v>5</v>
      </c>
      <c r="B76" s="8" t="s">
        <v>43</v>
      </c>
      <c r="C76" s="8" t="s">
        <v>31</v>
      </c>
      <c r="D76" s="8" t="s">
        <v>107</v>
      </c>
      <c r="E76" s="8" t="s">
        <v>89</v>
      </c>
      <c r="F76" s="18"/>
      <c r="G76" s="18"/>
      <c r="H76" s="18">
        <v>250000</v>
      </c>
      <c r="I76" s="51">
        <v>800000</v>
      </c>
      <c r="J76" s="18">
        <v>707222.87</v>
      </c>
      <c r="K76" s="18">
        <f t="shared" si="2"/>
        <v>92777.13</v>
      </c>
      <c r="L76" s="160">
        <v>6249</v>
      </c>
    </row>
    <row r="77" spans="1:114" s="9" customFormat="1" ht="8.65" customHeight="1" x14ac:dyDescent="0.15">
      <c r="A77" s="8" t="s">
        <v>5</v>
      </c>
      <c r="B77" s="8" t="s">
        <v>43</v>
      </c>
      <c r="C77" s="8" t="s">
        <v>31</v>
      </c>
      <c r="D77" s="8" t="s">
        <v>108</v>
      </c>
      <c r="E77" s="8" t="s">
        <v>89</v>
      </c>
      <c r="F77" s="18"/>
      <c r="G77" s="18"/>
      <c r="H77" s="18"/>
      <c r="I77" s="51">
        <v>750000</v>
      </c>
      <c r="J77" s="18"/>
      <c r="K77" s="18">
        <f t="shared" si="2"/>
        <v>750000</v>
      </c>
      <c r="L77" s="160">
        <v>6075</v>
      </c>
    </row>
    <row r="78" spans="1:114" s="9" customFormat="1" ht="8.65" customHeight="1" x14ac:dyDescent="0.15">
      <c r="A78" s="8" t="s">
        <v>5</v>
      </c>
      <c r="B78" s="8" t="s">
        <v>109</v>
      </c>
      <c r="C78" s="8" t="s">
        <v>31</v>
      </c>
      <c r="D78" s="8" t="s">
        <v>110</v>
      </c>
      <c r="E78" s="8" t="s">
        <v>89</v>
      </c>
      <c r="F78" s="18"/>
      <c r="G78" s="18"/>
      <c r="H78" s="18"/>
      <c r="I78" s="51">
        <v>4500000</v>
      </c>
      <c r="J78" s="18">
        <v>3898500</v>
      </c>
      <c r="K78" s="18">
        <f t="shared" si="2"/>
        <v>601500</v>
      </c>
      <c r="L78" s="160">
        <v>6092</v>
      </c>
    </row>
    <row r="79" spans="1:114" s="9" customFormat="1" ht="8.65" customHeight="1" x14ac:dyDescent="0.15">
      <c r="A79" s="8" t="s">
        <v>5</v>
      </c>
      <c r="B79" s="8" t="s">
        <v>111</v>
      </c>
      <c r="C79" s="8" t="s">
        <v>31</v>
      </c>
      <c r="D79" s="8" t="s">
        <v>112</v>
      </c>
      <c r="E79" s="8" t="s">
        <v>89</v>
      </c>
      <c r="F79" s="18"/>
      <c r="G79" s="18">
        <v>1700000</v>
      </c>
      <c r="H79" s="18"/>
      <c r="I79" s="51">
        <f>3800000+G79</f>
        <v>5500000</v>
      </c>
      <c r="J79" s="18"/>
      <c r="K79" s="18">
        <f t="shared" si="2"/>
        <v>5500000</v>
      </c>
      <c r="L79" s="160" t="s">
        <v>551</v>
      </c>
    </row>
    <row r="80" spans="1:114" s="9" customFormat="1" ht="8.65" customHeight="1" x14ac:dyDescent="0.15">
      <c r="A80" s="8" t="s">
        <v>5</v>
      </c>
      <c r="B80" s="8" t="s">
        <v>111</v>
      </c>
      <c r="C80" s="8" t="s">
        <v>31</v>
      </c>
      <c r="D80" s="8" t="s">
        <v>113</v>
      </c>
      <c r="E80" s="8" t="s">
        <v>89</v>
      </c>
      <c r="F80" s="18"/>
      <c r="G80" s="2"/>
      <c r="H80" s="2"/>
      <c r="I80" s="51">
        <v>3500000</v>
      </c>
      <c r="J80" s="2">
        <v>3312000</v>
      </c>
      <c r="K80" s="18">
        <f t="shared" si="2"/>
        <v>188000</v>
      </c>
      <c r="L80" s="160">
        <v>6194</v>
      </c>
    </row>
    <row r="81" spans="1:115" s="3" customFormat="1" ht="10.15" customHeight="1" x14ac:dyDescent="0.15">
      <c r="A81" s="259" t="s">
        <v>114</v>
      </c>
      <c r="B81" s="259"/>
      <c r="C81" s="259"/>
      <c r="D81" s="259"/>
      <c r="E81" s="259"/>
      <c r="F81" s="259"/>
      <c r="G81" s="74"/>
      <c r="H81" s="75"/>
      <c r="I81" s="78">
        <f>+I80+I79+I78+I77+I76+I75+I74+I72+I73+I71+I70+I69+I68</f>
        <v>43082000</v>
      </c>
      <c r="J81" s="78">
        <f>+J68+J69+J70+J71+J72+J73+J75+J74+J76+J77+J78+J79+J80</f>
        <v>14089340.870000001</v>
      </c>
      <c r="K81" s="78">
        <f>SUM(K68:K80)</f>
        <v>28992659.129999999</v>
      </c>
      <c r="L81" s="166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</row>
    <row r="82" spans="1:115" s="9" customFormat="1" ht="8.65" customHeight="1" x14ac:dyDescent="0.15">
      <c r="A82" s="8" t="s">
        <v>5</v>
      </c>
      <c r="B82" s="8" t="s">
        <v>115</v>
      </c>
      <c r="C82" s="8" t="s">
        <v>64</v>
      </c>
      <c r="D82" s="8" t="s">
        <v>116</v>
      </c>
      <c r="E82" s="8" t="s">
        <v>117</v>
      </c>
      <c r="F82" s="18" t="s">
        <v>118</v>
      </c>
      <c r="G82" s="2"/>
      <c r="H82" s="2"/>
      <c r="I82" s="51">
        <v>300000</v>
      </c>
      <c r="J82" s="2"/>
      <c r="K82" s="2"/>
      <c r="L82" s="160" t="s">
        <v>551</v>
      </c>
    </row>
    <row r="83" spans="1:115" s="9" customFormat="1" ht="8.65" customHeight="1" x14ac:dyDescent="0.15">
      <c r="A83" s="8" t="s">
        <v>5</v>
      </c>
      <c r="B83" s="8" t="s">
        <v>91</v>
      </c>
      <c r="C83" s="8" t="s">
        <v>92</v>
      </c>
      <c r="D83" s="8" t="s">
        <v>463</v>
      </c>
      <c r="E83" s="8" t="s">
        <v>117</v>
      </c>
      <c r="F83" s="18"/>
      <c r="G83" s="2"/>
      <c r="H83" s="2"/>
      <c r="I83" s="51">
        <v>5784000</v>
      </c>
      <c r="J83" s="2">
        <v>2528064</v>
      </c>
      <c r="K83" s="2"/>
      <c r="L83" s="160" t="s">
        <v>551</v>
      </c>
    </row>
    <row r="84" spans="1:115" s="9" customFormat="1" ht="8.65" customHeight="1" x14ac:dyDescent="0.15">
      <c r="A84" s="8" t="s">
        <v>5</v>
      </c>
      <c r="B84" s="8" t="s">
        <v>75</v>
      </c>
      <c r="C84" s="8" t="s">
        <v>73</v>
      </c>
      <c r="D84" s="8" t="s">
        <v>76</v>
      </c>
      <c r="E84" s="8" t="s">
        <v>117</v>
      </c>
      <c r="F84" s="18"/>
      <c r="G84" s="2"/>
      <c r="H84" s="2"/>
      <c r="I84" s="51">
        <v>100000</v>
      </c>
      <c r="J84" s="2"/>
      <c r="K84" s="2"/>
      <c r="L84" s="160" t="s">
        <v>551</v>
      </c>
    </row>
    <row r="85" spans="1:115" s="9" customFormat="1" ht="8.65" customHeight="1" x14ac:dyDescent="0.15">
      <c r="A85" s="8" t="s">
        <v>5</v>
      </c>
      <c r="B85" s="8" t="s">
        <v>119</v>
      </c>
      <c r="C85" s="8" t="s">
        <v>7</v>
      </c>
      <c r="D85" s="8" t="s">
        <v>120</v>
      </c>
      <c r="E85" s="8" t="s">
        <v>117</v>
      </c>
      <c r="F85" s="18"/>
      <c r="G85" s="2"/>
      <c r="H85" s="2"/>
      <c r="I85" s="51">
        <v>3714731.15</v>
      </c>
      <c r="J85" s="2">
        <f>1243530+1685465+604350</f>
        <v>3533345</v>
      </c>
      <c r="K85" s="2">
        <f>+I85-J85</f>
        <v>181386.14999999991</v>
      </c>
      <c r="L85" s="160" t="s">
        <v>504</v>
      </c>
    </row>
    <row r="86" spans="1:115" s="120" customFormat="1" ht="10.15" customHeight="1" x14ac:dyDescent="0.15">
      <c r="A86" s="259" t="s">
        <v>121</v>
      </c>
      <c r="B86" s="259"/>
      <c r="C86" s="259"/>
      <c r="D86" s="259"/>
      <c r="E86" s="259"/>
      <c r="F86" s="259"/>
      <c r="G86" s="96"/>
      <c r="H86" s="97"/>
      <c r="I86" s="101">
        <f>SUM(I82:I85)</f>
        <v>9898731.1500000004</v>
      </c>
      <c r="J86" s="101">
        <f>SUM(J82:J85)</f>
        <v>6061409</v>
      </c>
      <c r="K86" s="101">
        <f>SUM(K82:K85)</f>
        <v>181386.14999999991</v>
      </c>
      <c r="L86" s="161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</row>
    <row r="87" spans="1:115" s="9" customFormat="1" ht="8.25" x14ac:dyDescent="0.15">
      <c r="A87" s="18" t="s">
        <v>5</v>
      </c>
      <c r="B87" s="18" t="s">
        <v>56</v>
      </c>
      <c r="C87" s="18" t="s">
        <v>57</v>
      </c>
      <c r="D87" s="18" t="s">
        <v>122</v>
      </c>
      <c r="E87" s="18" t="s">
        <v>123</v>
      </c>
      <c r="F87" s="18" t="s">
        <v>124</v>
      </c>
      <c r="G87" s="18">
        <v>5000000</v>
      </c>
      <c r="H87" s="18"/>
      <c r="I87" s="51">
        <f>27600000+G87</f>
        <v>32600000</v>
      </c>
      <c r="J87" s="18">
        <f>27300000+5268783.2</f>
        <v>32568783.199999999</v>
      </c>
      <c r="K87" s="18">
        <f>+I87-J87</f>
        <v>31216.800000000745</v>
      </c>
      <c r="L87" s="66" t="s">
        <v>633</v>
      </c>
    </row>
    <row r="88" spans="1:115" s="9" customFormat="1" ht="8.65" customHeight="1" x14ac:dyDescent="0.15">
      <c r="A88" s="18" t="s">
        <v>5</v>
      </c>
      <c r="B88" s="18" t="s">
        <v>433</v>
      </c>
      <c r="C88" s="18" t="s">
        <v>92</v>
      </c>
      <c r="D88" s="18" t="s">
        <v>132</v>
      </c>
      <c r="E88" s="18" t="s">
        <v>123</v>
      </c>
      <c r="F88" s="18"/>
      <c r="G88" s="18"/>
      <c r="H88" s="18"/>
      <c r="I88" s="51">
        <v>500000</v>
      </c>
      <c r="J88" s="18"/>
      <c r="K88" s="18">
        <f t="shared" ref="K88:K89" si="3">+I88-J88</f>
        <v>500000</v>
      </c>
      <c r="L88" s="160" t="s">
        <v>551</v>
      </c>
    </row>
    <row r="89" spans="1:115" s="9" customFormat="1" ht="8.65" customHeight="1" x14ac:dyDescent="0.15">
      <c r="A89" s="18" t="s">
        <v>5</v>
      </c>
      <c r="B89" s="18" t="s">
        <v>125</v>
      </c>
      <c r="C89" s="18" t="s">
        <v>36</v>
      </c>
      <c r="D89" s="18" t="s">
        <v>126</v>
      </c>
      <c r="E89" s="18" t="s">
        <v>123</v>
      </c>
      <c r="F89" s="18"/>
      <c r="G89" s="18"/>
      <c r="H89" s="18"/>
      <c r="I89" s="51">
        <v>130000</v>
      </c>
      <c r="J89" s="18"/>
      <c r="K89" s="18">
        <f t="shared" si="3"/>
        <v>130000</v>
      </c>
      <c r="L89" s="160" t="s">
        <v>551</v>
      </c>
    </row>
    <row r="90" spans="1:115" s="120" customFormat="1" ht="9.6" customHeight="1" x14ac:dyDescent="0.15">
      <c r="A90" s="257" t="s">
        <v>127</v>
      </c>
      <c r="B90" s="257"/>
      <c r="C90" s="257"/>
      <c r="D90" s="257"/>
      <c r="E90" s="257"/>
      <c r="F90" s="257"/>
      <c r="G90" s="92"/>
      <c r="H90" s="93"/>
      <c r="I90" s="101">
        <f>SUM(I87:I89)</f>
        <v>33230000</v>
      </c>
      <c r="J90" s="101">
        <f>+J89+J88+J87</f>
        <v>32568783.199999999</v>
      </c>
      <c r="K90" s="101">
        <f>+K89+K88+K87</f>
        <v>661216.80000000075</v>
      </c>
      <c r="L90" s="163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</row>
    <row r="91" spans="1:115" s="9" customFormat="1" ht="10.15" customHeight="1" x14ac:dyDescent="0.15">
      <c r="A91" s="8" t="s">
        <v>46</v>
      </c>
      <c r="B91" s="8" t="s">
        <v>131</v>
      </c>
      <c r="C91" s="8" t="s">
        <v>92</v>
      </c>
      <c r="D91" s="8" t="s">
        <v>425</v>
      </c>
      <c r="E91" s="8" t="s">
        <v>528</v>
      </c>
      <c r="F91" s="8" t="s">
        <v>529</v>
      </c>
      <c r="G91" s="60"/>
      <c r="H91" s="61"/>
      <c r="I91" s="10">
        <v>4100000</v>
      </c>
      <c r="J91" s="10">
        <v>3961361.2</v>
      </c>
      <c r="K91" s="10">
        <f>+I91-J91</f>
        <v>138638.79999999981</v>
      </c>
      <c r="L91" s="160" t="s">
        <v>551</v>
      </c>
    </row>
    <row r="92" spans="1:115" s="120" customFormat="1" ht="11.25" x14ac:dyDescent="0.15">
      <c r="A92" s="257" t="s">
        <v>530</v>
      </c>
      <c r="B92" s="257"/>
      <c r="C92" s="257"/>
      <c r="D92" s="257"/>
      <c r="E92" s="93"/>
      <c r="F92" s="93"/>
      <c r="G92" s="92"/>
      <c r="H92" s="93"/>
      <c r="I92" s="101">
        <f>SUM(I91)</f>
        <v>4100000</v>
      </c>
      <c r="J92" s="101">
        <f>SUM(J91)</f>
        <v>3961361.2</v>
      </c>
      <c r="K92" s="101">
        <f>SUM(K91)</f>
        <v>138638.79999999981</v>
      </c>
      <c r="L92" s="163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</row>
    <row r="93" spans="1:115" s="9" customFormat="1" ht="10.15" customHeight="1" x14ac:dyDescent="0.15">
      <c r="A93" s="8" t="s">
        <v>5</v>
      </c>
      <c r="B93" s="8" t="s">
        <v>131</v>
      </c>
      <c r="C93" s="8" t="s">
        <v>92</v>
      </c>
      <c r="D93" s="8" t="s">
        <v>425</v>
      </c>
      <c r="E93" s="8" t="s">
        <v>478</v>
      </c>
      <c r="F93" s="18" t="s">
        <v>443</v>
      </c>
      <c r="G93" s="34"/>
      <c r="H93" s="35"/>
      <c r="I93" s="51">
        <v>550000</v>
      </c>
      <c r="J93" s="2"/>
      <c r="K93" s="18">
        <f>+I93-J93</f>
        <v>550000</v>
      </c>
      <c r="L93" s="160" t="s">
        <v>551</v>
      </c>
    </row>
    <row r="94" spans="1:115" s="122" customFormat="1" ht="10.15" customHeight="1" x14ac:dyDescent="0.15">
      <c r="A94" s="262" t="s">
        <v>442</v>
      </c>
      <c r="B94" s="263"/>
      <c r="C94" s="263"/>
      <c r="D94" s="263"/>
      <c r="E94" s="263"/>
      <c r="F94" s="264"/>
      <c r="G94" s="104"/>
      <c r="H94" s="104"/>
      <c r="I94" s="101">
        <f>+I93</f>
        <v>550000</v>
      </c>
      <c r="J94" s="101">
        <f>+J93</f>
        <v>0</v>
      </c>
      <c r="K94" s="101">
        <f>SUM(K93)</f>
        <v>550000</v>
      </c>
      <c r="L94" s="167"/>
      <c r="M94" s="9"/>
      <c r="N94" s="9"/>
      <c r="O94" s="9"/>
      <c r="P94" s="9"/>
      <c r="Q94" s="9"/>
      <c r="R94" s="9"/>
      <c r="S94" s="9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121"/>
    </row>
    <row r="95" spans="1:115" s="3" customFormat="1" ht="8.65" customHeight="1" x14ac:dyDescent="0.15">
      <c r="A95" s="20" t="s">
        <v>5</v>
      </c>
      <c r="B95" s="20" t="s">
        <v>72</v>
      </c>
      <c r="C95" s="20" t="s">
        <v>73</v>
      </c>
      <c r="D95" s="20" t="s">
        <v>74</v>
      </c>
      <c r="E95" s="20" t="s">
        <v>128</v>
      </c>
      <c r="F95" s="20" t="s">
        <v>412</v>
      </c>
      <c r="G95" s="20"/>
      <c r="H95" s="20"/>
      <c r="I95" s="10">
        <v>450000</v>
      </c>
      <c r="J95" s="15"/>
      <c r="K95" s="15">
        <f>+I95-J95</f>
        <v>450000</v>
      </c>
      <c r="L95" s="160" t="s">
        <v>551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</row>
    <row r="96" spans="1:115" s="3" customFormat="1" ht="8.65" customHeight="1" x14ac:dyDescent="0.15">
      <c r="A96" s="15" t="s">
        <v>5</v>
      </c>
      <c r="B96" s="15" t="s">
        <v>129</v>
      </c>
      <c r="C96" s="15" t="s">
        <v>57</v>
      </c>
      <c r="D96" s="15" t="s">
        <v>130</v>
      </c>
      <c r="E96" s="15" t="s">
        <v>128</v>
      </c>
      <c r="F96" s="15"/>
      <c r="G96" s="15"/>
      <c r="H96" s="15"/>
      <c r="I96" s="10">
        <v>1661000</v>
      </c>
      <c r="J96" s="15">
        <f>325214+189840</f>
        <v>515054</v>
      </c>
      <c r="K96" s="15">
        <f>+I96-J96</f>
        <v>1145946</v>
      </c>
      <c r="L96" s="165">
        <v>6180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</row>
    <row r="97" spans="1:115" s="3" customFormat="1" ht="8.65" customHeight="1" x14ac:dyDescent="0.15">
      <c r="A97" s="18" t="s">
        <v>5</v>
      </c>
      <c r="B97" s="18" t="s">
        <v>131</v>
      </c>
      <c r="C97" s="18" t="s">
        <v>92</v>
      </c>
      <c r="D97" s="18" t="s">
        <v>132</v>
      </c>
      <c r="E97" s="18" t="s">
        <v>128</v>
      </c>
      <c r="F97" s="15"/>
      <c r="G97" s="15"/>
      <c r="H97" s="15"/>
      <c r="I97" s="10">
        <v>6555588.8300000001</v>
      </c>
      <c r="J97" s="15"/>
      <c r="K97" s="15">
        <f>+I97-J97</f>
        <v>6555588.8300000001</v>
      </c>
      <c r="L97" s="160" t="s">
        <v>551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</row>
    <row r="98" spans="1:115" s="9" customFormat="1" ht="8.65" customHeight="1" x14ac:dyDescent="0.15">
      <c r="A98" s="18" t="s">
        <v>5</v>
      </c>
      <c r="B98" s="18" t="s">
        <v>131</v>
      </c>
      <c r="C98" s="18" t="s">
        <v>92</v>
      </c>
      <c r="D98" s="20" t="s">
        <v>464</v>
      </c>
      <c r="E98" s="18" t="s">
        <v>128</v>
      </c>
      <c r="F98" s="18"/>
      <c r="G98" s="18"/>
      <c r="H98" s="18"/>
      <c r="I98" s="51">
        <v>825000</v>
      </c>
      <c r="J98" s="18"/>
      <c r="K98" s="15">
        <f>+I98-J98</f>
        <v>825000</v>
      </c>
      <c r="L98" s="160" t="s">
        <v>551</v>
      </c>
    </row>
    <row r="99" spans="1:115" s="120" customFormat="1" ht="10.15" customHeight="1" x14ac:dyDescent="0.15">
      <c r="A99" s="261" t="s">
        <v>133</v>
      </c>
      <c r="B99" s="261"/>
      <c r="C99" s="261"/>
      <c r="D99" s="261"/>
      <c r="E99" s="261"/>
      <c r="F99" s="261"/>
      <c r="G99" s="113"/>
      <c r="H99" s="114"/>
      <c r="I99" s="101">
        <f>+I98+I97+I96+I95</f>
        <v>9491588.8300000001</v>
      </c>
      <c r="J99" s="101">
        <f>+J98+J97+J96+J95</f>
        <v>515054</v>
      </c>
      <c r="K99" s="101">
        <f>SUM(K95:K98)</f>
        <v>8976534.8300000001</v>
      </c>
      <c r="L99" s="163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</row>
    <row r="100" spans="1:115" s="42" customFormat="1" ht="10.15" customHeight="1" x14ac:dyDescent="0.15">
      <c r="A100" s="18" t="s">
        <v>5</v>
      </c>
      <c r="B100" s="18" t="s">
        <v>131</v>
      </c>
      <c r="C100" s="18" t="s">
        <v>92</v>
      </c>
      <c r="D100" s="18" t="s">
        <v>132</v>
      </c>
      <c r="E100" s="18" t="s">
        <v>480</v>
      </c>
      <c r="F100" s="18" t="s">
        <v>481</v>
      </c>
      <c r="G100" s="51"/>
      <c r="H100" s="61"/>
      <c r="I100" s="10">
        <v>1000000</v>
      </c>
      <c r="J100" s="18"/>
      <c r="K100" s="18">
        <f>+I100</f>
        <v>1000000</v>
      </c>
      <c r="L100" s="16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41"/>
    </row>
    <row r="101" spans="1:115" s="119" customFormat="1" ht="10.15" customHeight="1" x14ac:dyDescent="0.15">
      <c r="A101" s="257" t="s">
        <v>479</v>
      </c>
      <c r="B101" s="257"/>
      <c r="C101" s="257"/>
      <c r="D101" s="257"/>
      <c r="E101" s="257"/>
      <c r="F101" s="257"/>
      <c r="G101" s="92"/>
      <c r="H101" s="93"/>
      <c r="I101" s="94">
        <f>+I100</f>
        <v>1000000</v>
      </c>
      <c r="J101" s="94">
        <f>+J100</f>
        <v>0</v>
      </c>
      <c r="K101" s="94">
        <f>SUM(K100)</f>
        <v>1000000</v>
      </c>
      <c r="L101" s="163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118"/>
    </row>
    <row r="102" spans="1:115" s="3" customFormat="1" ht="8.25" x14ac:dyDescent="0.15">
      <c r="A102" s="90" t="s">
        <v>5</v>
      </c>
      <c r="B102" s="90" t="s">
        <v>56</v>
      </c>
      <c r="C102" s="90" t="s">
        <v>57</v>
      </c>
      <c r="D102" s="90" t="s">
        <v>122</v>
      </c>
      <c r="E102" s="90" t="s">
        <v>134</v>
      </c>
      <c r="F102" s="90" t="s">
        <v>135</v>
      </c>
      <c r="G102" s="90">
        <v>0.03</v>
      </c>
      <c r="H102" s="90"/>
      <c r="I102" s="91">
        <v>539000.03</v>
      </c>
      <c r="J102" s="90">
        <f>500000.03+38544.3</f>
        <v>538544.33000000007</v>
      </c>
      <c r="K102" s="90">
        <f>+I102-J102</f>
        <v>455.69999999995343</v>
      </c>
      <c r="L102" s="66" t="s">
        <v>532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</row>
    <row r="103" spans="1:115" s="3" customFormat="1" ht="8.65" customHeight="1" x14ac:dyDescent="0.15">
      <c r="A103" s="18" t="s">
        <v>5</v>
      </c>
      <c r="B103" s="18" t="s">
        <v>136</v>
      </c>
      <c r="C103" s="18" t="s">
        <v>137</v>
      </c>
      <c r="D103" s="18" t="s">
        <v>138</v>
      </c>
      <c r="E103" s="18" t="s">
        <v>134</v>
      </c>
      <c r="F103" s="18"/>
      <c r="G103" s="18"/>
      <c r="H103" s="18"/>
      <c r="I103" s="51">
        <v>65000</v>
      </c>
      <c r="J103" s="18"/>
      <c r="K103" s="18">
        <f t="shared" ref="K103:K114" si="4">+I103-J103</f>
        <v>65000</v>
      </c>
      <c r="L103" s="162" t="s">
        <v>551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</row>
    <row r="104" spans="1:115" s="3" customFormat="1" ht="8.65" customHeight="1" x14ac:dyDescent="0.15">
      <c r="A104" s="18" t="s">
        <v>5</v>
      </c>
      <c r="B104" s="18" t="s">
        <v>67</v>
      </c>
      <c r="C104" s="18" t="s">
        <v>68</v>
      </c>
      <c r="D104" s="18" t="s">
        <v>139</v>
      </c>
      <c r="E104" s="18" t="s">
        <v>134</v>
      </c>
      <c r="F104" s="18"/>
      <c r="G104" s="18"/>
      <c r="H104" s="18"/>
      <c r="I104" s="51">
        <v>84000</v>
      </c>
      <c r="J104" s="18"/>
      <c r="K104" s="18">
        <f t="shared" si="4"/>
        <v>84000</v>
      </c>
      <c r="L104" s="162" t="s">
        <v>551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</row>
    <row r="105" spans="1:115" s="3" customFormat="1" ht="8.65" customHeight="1" x14ac:dyDescent="0.15">
      <c r="A105" s="18" t="s">
        <v>5</v>
      </c>
      <c r="B105" s="18" t="s">
        <v>140</v>
      </c>
      <c r="C105" s="18" t="s">
        <v>68</v>
      </c>
      <c r="D105" s="18" t="s">
        <v>141</v>
      </c>
      <c r="E105" s="18" t="s">
        <v>134</v>
      </c>
      <c r="F105" s="18"/>
      <c r="G105" s="18"/>
      <c r="H105" s="18"/>
      <c r="I105" s="51">
        <v>2400000</v>
      </c>
      <c r="J105" s="18"/>
      <c r="K105" s="18">
        <f t="shared" si="4"/>
        <v>2400000</v>
      </c>
      <c r="L105" s="162" t="s">
        <v>551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</row>
    <row r="106" spans="1:115" s="3" customFormat="1" ht="8.65" customHeight="1" x14ac:dyDescent="0.15">
      <c r="A106" s="18" t="s">
        <v>5</v>
      </c>
      <c r="B106" s="18" t="s">
        <v>140</v>
      </c>
      <c r="C106" s="18" t="s">
        <v>68</v>
      </c>
      <c r="D106" s="18" t="s">
        <v>142</v>
      </c>
      <c r="E106" s="18" t="s">
        <v>134</v>
      </c>
      <c r="F106" s="18"/>
      <c r="G106" s="18"/>
      <c r="H106" s="18"/>
      <c r="I106" s="51">
        <v>45000</v>
      </c>
      <c r="J106" s="18"/>
      <c r="K106" s="18">
        <f t="shared" si="4"/>
        <v>45000</v>
      </c>
      <c r="L106" s="162" t="s">
        <v>551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</row>
    <row r="107" spans="1:115" s="3" customFormat="1" ht="8.65" customHeight="1" x14ac:dyDescent="0.15">
      <c r="A107" s="18" t="s">
        <v>5</v>
      </c>
      <c r="B107" s="18" t="s">
        <v>75</v>
      </c>
      <c r="C107" s="18" t="s">
        <v>73</v>
      </c>
      <c r="D107" s="18" t="s">
        <v>76</v>
      </c>
      <c r="E107" s="18" t="s">
        <v>134</v>
      </c>
      <c r="F107" s="18"/>
      <c r="G107" s="18"/>
      <c r="H107" s="18"/>
      <c r="I107" s="51">
        <v>305564</v>
      </c>
      <c r="J107" s="18"/>
      <c r="K107" s="18">
        <f t="shared" si="4"/>
        <v>305564</v>
      </c>
      <c r="L107" s="162" t="s">
        <v>551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</row>
    <row r="108" spans="1:115" s="3" customFormat="1" ht="8.65" customHeight="1" x14ac:dyDescent="0.15">
      <c r="A108" s="18" t="s">
        <v>5</v>
      </c>
      <c r="B108" s="18" t="s">
        <v>143</v>
      </c>
      <c r="C108" s="18" t="s">
        <v>68</v>
      </c>
      <c r="D108" s="18" t="s">
        <v>144</v>
      </c>
      <c r="E108" s="18" t="s">
        <v>134</v>
      </c>
      <c r="F108" s="18"/>
      <c r="G108" s="18"/>
      <c r="H108" s="18"/>
      <c r="I108" s="51">
        <v>60000</v>
      </c>
      <c r="J108" s="18"/>
      <c r="K108" s="18">
        <f t="shared" si="4"/>
        <v>60000</v>
      </c>
      <c r="L108" s="162" t="s">
        <v>551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</row>
    <row r="109" spans="1:115" s="3" customFormat="1" ht="8.65" customHeight="1" x14ac:dyDescent="0.15">
      <c r="A109" s="18" t="s">
        <v>5</v>
      </c>
      <c r="B109" s="18" t="s">
        <v>145</v>
      </c>
      <c r="C109" s="18" t="s">
        <v>68</v>
      </c>
      <c r="D109" s="18" t="s">
        <v>146</v>
      </c>
      <c r="E109" s="18" t="s">
        <v>134</v>
      </c>
      <c r="F109" s="18"/>
      <c r="G109" s="18"/>
      <c r="H109" s="18"/>
      <c r="I109" s="51">
        <v>65000</v>
      </c>
      <c r="J109" s="18"/>
      <c r="K109" s="18">
        <f t="shared" si="4"/>
        <v>65000</v>
      </c>
      <c r="L109" s="162" t="s">
        <v>551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</row>
    <row r="110" spans="1:115" s="3" customFormat="1" ht="8.65" customHeight="1" x14ac:dyDescent="0.15">
      <c r="A110" s="18" t="s">
        <v>5</v>
      </c>
      <c r="B110" s="18" t="s">
        <v>16</v>
      </c>
      <c r="C110" s="18" t="s">
        <v>17</v>
      </c>
      <c r="D110" s="18" t="s">
        <v>147</v>
      </c>
      <c r="E110" s="18" t="s">
        <v>134</v>
      </c>
      <c r="F110" s="18"/>
      <c r="G110" s="18"/>
      <c r="H110" s="18"/>
      <c r="I110" s="51">
        <v>204000</v>
      </c>
      <c r="J110" s="18">
        <f>15820+174020</f>
        <v>189840</v>
      </c>
      <c r="K110" s="18">
        <f t="shared" si="4"/>
        <v>14160</v>
      </c>
      <c r="L110" s="162" t="s">
        <v>393</v>
      </c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</row>
    <row r="111" spans="1:115" s="3" customFormat="1" ht="8.65" customHeight="1" x14ac:dyDescent="0.15">
      <c r="A111" s="18" t="s">
        <v>5</v>
      </c>
      <c r="B111" s="18" t="s">
        <v>63</v>
      </c>
      <c r="C111" s="18" t="s">
        <v>64</v>
      </c>
      <c r="D111" s="18" t="s">
        <v>65</v>
      </c>
      <c r="E111" s="18" t="s">
        <v>134</v>
      </c>
      <c r="F111" s="18"/>
      <c r="G111" s="18"/>
      <c r="H111" s="18"/>
      <c r="I111" s="51">
        <v>120000</v>
      </c>
      <c r="J111" s="18"/>
      <c r="K111" s="18">
        <f t="shared" si="4"/>
        <v>120000</v>
      </c>
      <c r="L111" s="162" t="s">
        <v>551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</row>
    <row r="112" spans="1:115" s="3" customFormat="1" ht="8.65" customHeight="1" x14ac:dyDescent="0.15">
      <c r="A112" s="18" t="s">
        <v>5</v>
      </c>
      <c r="B112" s="18" t="s">
        <v>131</v>
      </c>
      <c r="C112" s="18" t="s">
        <v>92</v>
      </c>
      <c r="D112" s="18" t="s">
        <v>148</v>
      </c>
      <c r="E112" s="18" t="s">
        <v>134</v>
      </c>
      <c r="F112" s="18"/>
      <c r="G112" s="18"/>
      <c r="H112" s="18"/>
      <c r="I112" s="51">
        <v>200000</v>
      </c>
      <c r="J112" s="18"/>
      <c r="K112" s="18">
        <f t="shared" si="4"/>
        <v>200000</v>
      </c>
      <c r="L112" s="162" t="s">
        <v>551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</row>
    <row r="113" spans="1:114" s="3" customFormat="1" ht="8.65" customHeight="1" x14ac:dyDescent="0.15">
      <c r="A113" s="18" t="s">
        <v>5</v>
      </c>
      <c r="B113" s="18" t="s">
        <v>131</v>
      </c>
      <c r="C113" s="18" t="s">
        <v>92</v>
      </c>
      <c r="D113" s="18" t="s">
        <v>132</v>
      </c>
      <c r="E113" s="18" t="s">
        <v>134</v>
      </c>
      <c r="F113" s="18"/>
      <c r="G113" s="18"/>
      <c r="H113" s="18"/>
      <c r="I113" s="51">
        <v>2300000</v>
      </c>
      <c r="J113" s="18"/>
      <c r="K113" s="18">
        <f t="shared" si="4"/>
        <v>2300000</v>
      </c>
      <c r="L113" s="162" t="s">
        <v>551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</row>
    <row r="114" spans="1:114" s="3" customFormat="1" ht="8.65" customHeight="1" x14ac:dyDescent="0.15">
      <c r="A114" s="18" t="s">
        <v>5</v>
      </c>
      <c r="B114" s="18" t="s">
        <v>149</v>
      </c>
      <c r="C114" s="18" t="s">
        <v>48</v>
      </c>
      <c r="D114" s="18" t="s">
        <v>150</v>
      </c>
      <c r="E114" s="18" t="s">
        <v>134</v>
      </c>
      <c r="F114" s="18"/>
      <c r="G114" s="18"/>
      <c r="H114" s="18"/>
      <c r="I114" s="51">
        <v>1380000</v>
      </c>
      <c r="J114" s="18">
        <f>226000+113000+528840</f>
        <v>867840</v>
      </c>
      <c r="K114" s="18">
        <f t="shared" si="4"/>
        <v>512160</v>
      </c>
      <c r="L114" s="162" t="s">
        <v>522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</row>
    <row r="115" spans="1:114" s="120" customFormat="1" ht="10.15" customHeight="1" x14ac:dyDescent="0.15">
      <c r="A115" s="257" t="s">
        <v>151</v>
      </c>
      <c r="B115" s="257"/>
      <c r="C115" s="257"/>
      <c r="D115" s="257"/>
      <c r="E115" s="257"/>
      <c r="F115" s="257"/>
      <c r="G115" s="92"/>
      <c r="H115" s="93"/>
      <c r="I115" s="94">
        <f>SUM(I102:I114)</f>
        <v>7767564.0300000003</v>
      </c>
      <c r="J115" s="94">
        <f>SUM(J102:J114)</f>
        <v>1596224.33</v>
      </c>
      <c r="K115" s="94">
        <f>SUM(K102:K114)</f>
        <v>6171339.7000000002</v>
      </c>
      <c r="L115" s="163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</row>
    <row r="116" spans="1:114" s="3" customFormat="1" ht="8.65" customHeight="1" x14ac:dyDescent="0.15">
      <c r="A116" s="23" t="s">
        <v>46</v>
      </c>
      <c r="B116" s="23" t="s">
        <v>63</v>
      </c>
      <c r="C116" s="23" t="s">
        <v>64</v>
      </c>
      <c r="D116" s="59" t="s">
        <v>65</v>
      </c>
      <c r="E116" s="23" t="s">
        <v>152</v>
      </c>
      <c r="F116" s="15" t="s">
        <v>435</v>
      </c>
      <c r="G116" s="23"/>
      <c r="H116" s="23">
        <v>600000</v>
      </c>
      <c r="I116" s="25">
        <f>3500000-H116</f>
        <v>2900000</v>
      </c>
      <c r="J116" s="25">
        <v>2898103.09</v>
      </c>
      <c r="K116" s="25">
        <f>+I116-J116</f>
        <v>1896.910000000149</v>
      </c>
      <c r="L116" s="64" t="s">
        <v>634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</row>
    <row r="117" spans="1:114" s="3" customFormat="1" ht="10.15" customHeight="1" x14ac:dyDescent="0.15">
      <c r="A117" s="257" t="s">
        <v>153</v>
      </c>
      <c r="B117" s="257"/>
      <c r="C117" s="257"/>
      <c r="D117" s="257"/>
      <c r="E117" s="257"/>
      <c r="F117" s="257"/>
      <c r="G117" s="89"/>
      <c r="H117" s="77"/>
      <c r="I117" s="76">
        <f>SUM(I116)</f>
        <v>2900000</v>
      </c>
      <c r="J117" s="76">
        <f>+J116</f>
        <v>2898103.09</v>
      </c>
      <c r="K117" s="76">
        <f>SUM(K116)</f>
        <v>1896.910000000149</v>
      </c>
      <c r="L117" s="168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</row>
    <row r="118" spans="1:114" s="3" customFormat="1" ht="8.65" customHeight="1" x14ac:dyDescent="0.15">
      <c r="A118" s="18" t="s">
        <v>154</v>
      </c>
      <c r="B118" s="18" t="s">
        <v>155</v>
      </c>
      <c r="C118" s="18" t="s">
        <v>156</v>
      </c>
      <c r="D118" s="18" t="s">
        <v>157</v>
      </c>
      <c r="E118" s="18" t="s">
        <v>158</v>
      </c>
      <c r="F118" s="18" t="s">
        <v>159</v>
      </c>
      <c r="G118" s="18"/>
      <c r="H118" s="18">
        <v>1000000</v>
      </c>
      <c r="I118" s="51">
        <f>1500000-H118</f>
        <v>500000</v>
      </c>
      <c r="J118" s="18"/>
      <c r="K118" s="18">
        <f>+I118-J118</f>
        <v>500000</v>
      </c>
      <c r="L118" s="162" t="s">
        <v>411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</row>
    <row r="119" spans="1:114" s="3" customFormat="1" ht="8.65" customHeight="1" x14ac:dyDescent="0.15">
      <c r="A119" s="18" t="s">
        <v>154</v>
      </c>
      <c r="B119" s="18" t="s">
        <v>160</v>
      </c>
      <c r="C119" s="18" t="s">
        <v>101</v>
      </c>
      <c r="D119" s="18" t="s">
        <v>161</v>
      </c>
      <c r="E119" s="18" t="s">
        <v>158</v>
      </c>
      <c r="F119" s="18"/>
      <c r="G119" s="18"/>
      <c r="H119" s="18"/>
      <c r="I119" s="51">
        <v>250000</v>
      </c>
      <c r="J119" s="18"/>
      <c r="K119" s="18">
        <f t="shared" ref="K119:K127" si="5">+I119-J119</f>
        <v>250000</v>
      </c>
      <c r="L119" s="16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</row>
    <row r="120" spans="1:114" s="3" customFormat="1" ht="8.65" customHeight="1" x14ac:dyDescent="0.15">
      <c r="A120" s="18" t="s">
        <v>154</v>
      </c>
      <c r="B120" s="18" t="s">
        <v>140</v>
      </c>
      <c r="C120" s="18" t="s">
        <v>68</v>
      </c>
      <c r="D120" s="18" t="s">
        <v>162</v>
      </c>
      <c r="E120" s="18" t="s">
        <v>158</v>
      </c>
      <c r="F120" s="18"/>
      <c r="G120" s="18"/>
      <c r="H120" s="18">
        <v>250000</v>
      </c>
      <c r="I120" s="51">
        <f>250000-H120</f>
        <v>0</v>
      </c>
      <c r="J120" s="18"/>
      <c r="K120" s="18">
        <f t="shared" si="5"/>
        <v>0</v>
      </c>
      <c r="L120" s="16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</row>
    <row r="121" spans="1:114" s="9" customFormat="1" ht="8.25" x14ac:dyDescent="0.15">
      <c r="A121" s="18" t="s">
        <v>154</v>
      </c>
      <c r="B121" s="18" t="s">
        <v>404</v>
      </c>
      <c r="C121" s="18" t="s">
        <v>7</v>
      </c>
      <c r="D121" s="18" t="s">
        <v>170</v>
      </c>
      <c r="E121" s="18" t="s">
        <v>158</v>
      </c>
      <c r="F121" s="18"/>
      <c r="G121" s="18">
        <v>1000000</v>
      </c>
      <c r="H121" s="18"/>
      <c r="I121" s="51">
        <v>805000</v>
      </c>
      <c r="J121" s="18">
        <f>152550+373983.58+186991.78+76275</f>
        <v>789800.3600000001</v>
      </c>
      <c r="K121" s="18">
        <f t="shared" si="5"/>
        <v>15199.639999999898</v>
      </c>
      <c r="L121" s="66" t="s">
        <v>635</v>
      </c>
    </row>
    <row r="122" spans="1:114" s="3" customFormat="1" ht="8.65" customHeight="1" x14ac:dyDescent="0.15">
      <c r="A122" s="18" t="s">
        <v>154</v>
      </c>
      <c r="B122" s="18" t="s">
        <v>145</v>
      </c>
      <c r="C122" s="18" t="s">
        <v>68</v>
      </c>
      <c r="D122" s="18" t="s">
        <v>146</v>
      </c>
      <c r="E122" s="18" t="s">
        <v>158</v>
      </c>
      <c r="F122" s="18"/>
      <c r="G122" s="18"/>
      <c r="H122" s="18">
        <v>250000</v>
      </c>
      <c r="I122" s="51">
        <f>250000-H122</f>
        <v>0</v>
      </c>
      <c r="J122" s="18"/>
      <c r="K122" s="18">
        <f t="shared" si="5"/>
        <v>0</v>
      </c>
      <c r="L122" s="162" t="s">
        <v>551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</row>
    <row r="123" spans="1:114" s="3" customFormat="1" ht="8.65" customHeight="1" x14ac:dyDescent="0.15">
      <c r="A123" s="18" t="s">
        <v>154</v>
      </c>
      <c r="B123" s="18" t="s">
        <v>131</v>
      </c>
      <c r="C123" s="18" t="s">
        <v>92</v>
      </c>
      <c r="D123" s="18" t="s">
        <v>132</v>
      </c>
      <c r="E123" s="18" t="s">
        <v>158</v>
      </c>
      <c r="F123" s="18"/>
      <c r="G123" s="18"/>
      <c r="H123" s="18"/>
      <c r="I123" s="51">
        <v>1462610</v>
      </c>
      <c r="J123" s="18"/>
      <c r="K123" s="18">
        <f t="shared" si="5"/>
        <v>1462610</v>
      </c>
      <c r="L123" s="162" t="s">
        <v>551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</row>
    <row r="124" spans="1:114" s="3" customFormat="1" ht="33" x14ac:dyDescent="0.15">
      <c r="A124" s="18" t="s">
        <v>154</v>
      </c>
      <c r="B124" s="18" t="s">
        <v>163</v>
      </c>
      <c r="C124" s="18" t="s">
        <v>48</v>
      </c>
      <c r="D124" s="18" t="s">
        <v>164</v>
      </c>
      <c r="E124" s="18" t="s">
        <v>158</v>
      </c>
      <c r="F124" s="18"/>
      <c r="G124" s="18"/>
      <c r="H124" s="18">
        <f>3500000+19000000+70000000+16000000</f>
        <v>108500000</v>
      </c>
      <c r="I124" s="70">
        <f>192500000-H124</f>
        <v>84000000</v>
      </c>
      <c r="J124" s="18">
        <v>30463117.34</v>
      </c>
      <c r="K124" s="18">
        <f t="shared" si="5"/>
        <v>53536882.659999996</v>
      </c>
      <c r="L124" s="66" t="s">
        <v>505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</row>
    <row r="125" spans="1:114" s="3" customFormat="1" ht="8.65" customHeight="1" x14ac:dyDescent="0.15">
      <c r="A125" s="18" t="s">
        <v>154</v>
      </c>
      <c r="B125" s="18" t="s">
        <v>125</v>
      </c>
      <c r="C125" s="18" t="s">
        <v>36</v>
      </c>
      <c r="D125" s="18" t="s">
        <v>126</v>
      </c>
      <c r="E125" s="18" t="s">
        <v>158</v>
      </c>
      <c r="F125" s="18"/>
      <c r="G125" s="18"/>
      <c r="H125" s="18">
        <v>66195</v>
      </c>
      <c r="I125" s="51">
        <f>66195-H125</f>
        <v>0</v>
      </c>
      <c r="J125" s="18"/>
      <c r="K125" s="18">
        <f t="shared" si="5"/>
        <v>0</v>
      </c>
      <c r="L125" s="162" t="s">
        <v>551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</row>
    <row r="126" spans="1:114" s="3" customFormat="1" ht="8.65" customHeight="1" x14ac:dyDescent="0.15">
      <c r="A126" s="18" t="s">
        <v>154</v>
      </c>
      <c r="B126" s="18" t="s">
        <v>165</v>
      </c>
      <c r="C126" s="18" t="s">
        <v>12</v>
      </c>
      <c r="D126" s="18" t="s">
        <v>166</v>
      </c>
      <c r="E126" s="18" t="s">
        <v>158</v>
      </c>
      <c r="F126" s="18"/>
      <c r="G126" s="18"/>
      <c r="H126" s="18"/>
      <c r="I126" s="51">
        <v>2280300</v>
      </c>
      <c r="J126" s="18">
        <f>81360+894960</f>
        <v>976320</v>
      </c>
      <c r="K126" s="18">
        <f t="shared" si="5"/>
        <v>1303980</v>
      </c>
      <c r="L126" s="162" t="s">
        <v>391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</row>
    <row r="127" spans="1:114" s="3" customFormat="1" ht="24" customHeight="1" x14ac:dyDescent="0.15">
      <c r="A127" s="18" t="s">
        <v>154</v>
      </c>
      <c r="B127" s="18" t="s">
        <v>53</v>
      </c>
      <c r="C127" s="18" t="s">
        <v>48</v>
      </c>
      <c r="D127" s="18" t="s">
        <v>167</v>
      </c>
      <c r="E127" s="18" t="s">
        <v>158</v>
      </c>
      <c r="F127" s="18"/>
      <c r="G127" s="18"/>
      <c r="H127" s="18"/>
      <c r="I127" s="51">
        <v>432750000</v>
      </c>
      <c r="J127" s="18">
        <f>278124545.23+567816.69+1833850.37+566874.92+1331981.07</f>
        <v>282425068.28000003</v>
      </c>
      <c r="K127" s="18">
        <f t="shared" si="5"/>
        <v>150324931.71999997</v>
      </c>
      <c r="L127" s="66" t="s">
        <v>539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</row>
    <row r="128" spans="1:114" s="120" customFormat="1" ht="11.45" customHeight="1" x14ac:dyDescent="0.15">
      <c r="A128" s="257" t="s">
        <v>168</v>
      </c>
      <c r="B128" s="257"/>
      <c r="C128" s="257"/>
      <c r="D128" s="257"/>
      <c r="E128" s="257"/>
      <c r="F128" s="257"/>
      <c r="G128" s="92"/>
      <c r="H128" s="93"/>
      <c r="I128" s="94">
        <f>+I118+I119+I120+I121+I122+I123+I124+I125+I126+I127</f>
        <v>522047910</v>
      </c>
      <c r="J128" s="94">
        <f>+J127+J126+J124+J121</f>
        <v>314654305.98000002</v>
      </c>
      <c r="K128" s="94">
        <f>SUM(K118:K127)</f>
        <v>207393604.01999998</v>
      </c>
      <c r="L128" s="163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</row>
    <row r="129" spans="1:114" s="9" customFormat="1" ht="8.65" customHeight="1" x14ac:dyDescent="0.15">
      <c r="A129" s="18" t="s">
        <v>154</v>
      </c>
      <c r="B129" s="18" t="s">
        <v>169</v>
      </c>
      <c r="C129" s="18" t="s">
        <v>7</v>
      </c>
      <c r="D129" s="18" t="s">
        <v>170</v>
      </c>
      <c r="E129" s="18" t="s">
        <v>171</v>
      </c>
      <c r="F129" s="18" t="s">
        <v>172</v>
      </c>
      <c r="G129" s="18">
        <v>200000</v>
      </c>
      <c r="H129" s="18"/>
      <c r="I129" s="51">
        <v>454000</v>
      </c>
      <c r="J129" s="18">
        <f>226000+226000</f>
        <v>452000</v>
      </c>
      <c r="K129" s="18">
        <f>+I129-J129</f>
        <v>2000</v>
      </c>
      <c r="L129" s="162" t="s">
        <v>636</v>
      </c>
    </row>
    <row r="130" spans="1:114" s="9" customFormat="1" ht="8.65" customHeight="1" x14ac:dyDescent="0.15">
      <c r="A130" s="18" t="s">
        <v>154</v>
      </c>
      <c r="B130" s="18" t="s">
        <v>163</v>
      </c>
      <c r="C130" s="18" t="s">
        <v>48</v>
      </c>
      <c r="D130" s="18" t="s">
        <v>173</v>
      </c>
      <c r="E130" s="18" t="s">
        <v>171</v>
      </c>
      <c r="F130" s="18"/>
      <c r="G130" s="18"/>
      <c r="H130" s="18"/>
      <c r="I130" s="51">
        <v>35231348</v>
      </c>
      <c r="J130" s="18">
        <f>2796138.2+11184552.8+16776829.2+3903958.1</f>
        <v>34661478.299999997</v>
      </c>
      <c r="K130" s="18">
        <f>+I130-J130</f>
        <v>569869.70000000298</v>
      </c>
      <c r="L130" s="162" t="s">
        <v>525</v>
      </c>
    </row>
    <row r="131" spans="1:114" s="9" customFormat="1" ht="8.65" customHeight="1" x14ac:dyDescent="0.15">
      <c r="A131" s="18" t="s">
        <v>154</v>
      </c>
      <c r="B131" s="18" t="s">
        <v>174</v>
      </c>
      <c r="C131" s="18" t="s">
        <v>36</v>
      </c>
      <c r="D131" s="18" t="s">
        <v>175</v>
      </c>
      <c r="E131" s="18" t="s">
        <v>171</v>
      </c>
      <c r="F131" s="18"/>
      <c r="G131" s="18"/>
      <c r="H131" s="18">
        <v>344763</v>
      </c>
      <c r="I131" s="51">
        <f>344763-H131</f>
        <v>0</v>
      </c>
      <c r="J131" s="18"/>
      <c r="K131" s="18"/>
      <c r="L131" s="162" t="s">
        <v>551</v>
      </c>
    </row>
    <row r="132" spans="1:114" s="9" customFormat="1" ht="8.65" customHeight="1" x14ac:dyDescent="0.15">
      <c r="A132" s="18" t="s">
        <v>154</v>
      </c>
      <c r="B132" s="18" t="s">
        <v>176</v>
      </c>
      <c r="C132" s="18" t="s">
        <v>36</v>
      </c>
      <c r="D132" s="18" t="s">
        <v>177</v>
      </c>
      <c r="E132" s="18" t="s">
        <v>171</v>
      </c>
      <c r="F132" s="18"/>
      <c r="G132" s="18"/>
      <c r="H132" s="18">
        <v>850400</v>
      </c>
      <c r="I132" s="51">
        <f>850400-H132</f>
        <v>0</v>
      </c>
      <c r="J132" s="18"/>
      <c r="K132" s="18"/>
      <c r="L132" s="162" t="s">
        <v>551</v>
      </c>
    </row>
    <row r="133" spans="1:114" s="9" customFormat="1" ht="8.65" customHeight="1" x14ac:dyDescent="0.15">
      <c r="A133" s="18" t="s">
        <v>154</v>
      </c>
      <c r="B133" s="18" t="s">
        <v>131</v>
      </c>
      <c r="C133" s="18" t="s">
        <v>92</v>
      </c>
      <c r="D133" s="18" t="s">
        <v>132</v>
      </c>
      <c r="E133" s="18" t="s">
        <v>171</v>
      </c>
      <c r="F133" s="18"/>
      <c r="G133" s="18"/>
      <c r="H133" s="18"/>
      <c r="I133" s="51">
        <v>1462790</v>
      </c>
      <c r="J133" s="18">
        <f>830085.98+547500</f>
        <v>1377585.98</v>
      </c>
      <c r="K133" s="18">
        <f>+I133-J133</f>
        <v>85204.020000000019</v>
      </c>
      <c r="L133" s="162" t="s">
        <v>551</v>
      </c>
    </row>
    <row r="134" spans="1:114" s="9" customFormat="1" ht="8.65" customHeight="1" x14ac:dyDescent="0.15">
      <c r="A134" s="18" t="s">
        <v>154</v>
      </c>
      <c r="B134" s="18" t="s">
        <v>178</v>
      </c>
      <c r="C134" s="18" t="s">
        <v>25</v>
      </c>
      <c r="D134" s="18" t="s">
        <v>179</v>
      </c>
      <c r="E134" s="18" t="s">
        <v>171</v>
      </c>
      <c r="F134" s="18"/>
      <c r="G134" s="18"/>
      <c r="H134" s="18"/>
      <c r="I134" s="51">
        <v>156000000</v>
      </c>
      <c r="J134" s="18">
        <f>142428000+12948000</f>
        <v>155376000</v>
      </c>
      <c r="K134" s="18">
        <f>+I134-J134</f>
        <v>624000</v>
      </c>
      <c r="L134" s="162" t="s">
        <v>386</v>
      </c>
    </row>
    <row r="135" spans="1:114" s="9" customFormat="1" ht="8.65" customHeight="1" x14ac:dyDescent="0.15">
      <c r="A135" s="18" t="s">
        <v>154</v>
      </c>
      <c r="B135" s="18" t="s">
        <v>165</v>
      </c>
      <c r="C135" s="18" t="s">
        <v>12</v>
      </c>
      <c r="D135" s="18" t="s">
        <v>166</v>
      </c>
      <c r="E135" s="18" t="s">
        <v>171</v>
      </c>
      <c r="F135" s="18"/>
      <c r="G135" s="18"/>
      <c r="H135" s="18"/>
      <c r="I135" s="51">
        <v>330000</v>
      </c>
      <c r="J135" s="18">
        <f>27120+298320</f>
        <v>325440</v>
      </c>
      <c r="K135" s="18">
        <f>+I135-J135</f>
        <v>4560</v>
      </c>
      <c r="L135" s="162" t="s">
        <v>637</v>
      </c>
    </row>
    <row r="136" spans="1:114" s="120" customFormat="1" ht="10.15" customHeight="1" x14ac:dyDescent="0.15">
      <c r="A136" s="257" t="s">
        <v>180</v>
      </c>
      <c r="B136" s="257"/>
      <c r="C136" s="257"/>
      <c r="D136" s="257"/>
      <c r="E136" s="257"/>
      <c r="F136" s="257"/>
      <c r="G136" s="92"/>
      <c r="H136" s="93"/>
      <c r="I136" s="94">
        <f>SUM(I129:I135)</f>
        <v>193478138</v>
      </c>
      <c r="J136" s="94">
        <f>SUM(J129:J135)</f>
        <v>192192504.28</v>
      </c>
      <c r="K136" s="94">
        <f>SUM(K129:K135)</f>
        <v>1285633.720000003</v>
      </c>
      <c r="L136" s="163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</row>
    <row r="137" spans="1:114" s="9" customFormat="1" ht="8.65" customHeight="1" x14ac:dyDescent="0.15">
      <c r="A137" s="18" t="s">
        <v>154</v>
      </c>
      <c r="B137" s="18" t="s">
        <v>181</v>
      </c>
      <c r="C137" s="18" t="s">
        <v>156</v>
      </c>
      <c r="D137" s="18" t="s">
        <v>182</v>
      </c>
      <c r="E137" s="18" t="s">
        <v>183</v>
      </c>
      <c r="F137" s="18" t="s">
        <v>184</v>
      </c>
      <c r="G137" s="18"/>
      <c r="H137" s="18">
        <v>373000</v>
      </c>
      <c r="I137" s="51">
        <f>373000-H137</f>
        <v>0</v>
      </c>
      <c r="J137" s="18"/>
      <c r="K137" s="18"/>
      <c r="L137" s="162" t="s">
        <v>551</v>
      </c>
    </row>
    <row r="138" spans="1:114" s="9" customFormat="1" ht="8.65" customHeight="1" x14ac:dyDescent="0.15">
      <c r="A138" s="18" t="s">
        <v>154</v>
      </c>
      <c r="B138" s="18" t="s">
        <v>169</v>
      </c>
      <c r="C138" s="18" t="s">
        <v>7</v>
      </c>
      <c r="D138" s="18" t="s">
        <v>170</v>
      </c>
      <c r="E138" s="18" t="s">
        <v>183</v>
      </c>
      <c r="F138" s="18"/>
      <c r="G138" s="18"/>
      <c r="H138" s="18"/>
      <c r="I138" s="51">
        <v>395500</v>
      </c>
      <c r="J138" s="18">
        <v>339000</v>
      </c>
      <c r="K138" s="18">
        <f>+I138-J138</f>
        <v>56500</v>
      </c>
      <c r="L138" s="162">
        <v>6127</v>
      </c>
    </row>
    <row r="139" spans="1:114" s="9" customFormat="1" ht="8.65" customHeight="1" x14ac:dyDescent="0.15">
      <c r="A139" s="18" t="s">
        <v>154</v>
      </c>
      <c r="B139" s="18" t="s">
        <v>163</v>
      </c>
      <c r="C139" s="18" t="s">
        <v>48</v>
      </c>
      <c r="D139" s="18" t="s">
        <v>173</v>
      </c>
      <c r="E139" s="18" t="s">
        <v>183</v>
      </c>
      <c r="F139" s="18"/>
      <c r="G139" s="18"/>
      <c r="H139" s="18"/>
      <c r="I139" s="51">
        <v>28860000</v>
      </c>
      <c r="J139" s="18">
        <f>1930817.94+7723271.76+11584907.64+3444026.59</f>
        <v>24683023.93</v>
      </c>
      <c r="K139" s="18">
        <f>+I139-J139</f>
        <v>4176976.0700000003</v>
      </c>
      <c r="L139" s="162" t="s">
        <v>524</v>
      </c>
    </row>
    <row r="140" spans="1:114" s="9" customFormat="1" ht="8.65" customHeight="1" x14ac:dyDescent="0.15">
      <c r="A140" s="18" t="s">
        <v>154</v>
      </c>
      <c r="B140" s="18" t="s">
        <v>185</v>
      </c>
      <c r="C140" s="18" t="s">
        <v>17</v>
      </c>
      <c r="D140" s="18" t="s">
        <v>186</v>
      </c>
      <c r="E140" s="18" t="s">
        <v>183</v>
      </c>
      <c r="F140" s="18"/>
      <c r="G140" s="18"/>
      <c r="H140" s="18">
        <v>396000</v>
      </c>
      <c r="I140" s="51">
        <f>396000-H140</f>
        <v>0</v>
      </c>
      <c r="J140" s="18"/>
      <c r="K140" s="18"/>
      <c r="L140" s="162" t="s">
        <v>551</v>
      </c>
    </row>
    <row r="141" spans="1:114" s="9" customFormat="1" ht="8.65" customHeight="1" x14ac:dyDescent="0.15">
      <c r="A141" s="8" t="s">
        <v>154</v>
      </c>
      <c r="B141" s="8" t="s">
        <v>131</v>
      </c>
      <c r="C141" s="8" t="s">
        <v>92</v>
      </c>
      <c r="D141" s="8" t="s">
        <v>132</v>
      </c>
      <c r="E141" s="8" t="s">
        <v>183</v>
      </c>
      <c r="F141" s="18"/>
      <c r="G141" s="2"/>
      <c r="H141" s="2"/>
      <c r="I141" s="51">
        <v>1000000</v>
      </c>
      <c r="J141" s="2">
        <v>624000</v>
      </c>
      <c r="K141" s="18">
        <f>+I141-J141</f>
        <v>376000</v>
      </c>
      <c r="L141" s="162" t="s">
        <v>551</v>
      </c>
    </row>
    <row r="142" spans="1:114" s="9" customFormat="1" ht="8.65" customHeight="1" x14ac:dyDescent="0.15">
      <c r="A142" s="18" t="s">
        <v>154</v>
      </c>
      <c r="B142" s="18" t="s">
        <v>176</v>
      </c>
      <c r="C142" s="18" t="s">
        <v>36</v>
      </c>
      <c r="D142" s="18" t="s">
        <v>187</v>
      </c>
      <c r="E142" s="18" t="s">
        <v>183</v>
      </c>
      <c r="F142" s="18"/>
      <c r="G142" s="18"/>
      <c r="H142" s="18">
        <v>67800</v>
      </c>
      <c r="I142" s="51">
        <f>67800-H142</f>
        <v>0</v>
      </c>
      <c r="J142" s="18"/>
      <c r="K142" s="18"/>
      <c r="L142" s="162" t="s">
        <v>551</v>
      </c>
    </row>
    <row r="143" spans="1:114" s="9" customFormat="1" ht="8.65" customHeight="1" x14ac:dyDescent="0.15">
      <c r="A143" s="18" t="s">
        <v>154</v>
      </c>
      <c r="B143" s="18" t="s">
        <v>165</v>
      </c>
      <c r="C143" s="18" t="s">
        <v>12</v>
      </c>
      <c r="D143" s="18" t="s">
        <v>188</v>
      </c>
      <c r="E143" s="18" t="s">
        <v>183</v>
      </c>
      <c r="F143" s="18"/>
      <c r="G143" s="18"/>
      <c r="H143" s="18"/>
      <c r="I143" s="51">
        <v>396000</v>
      </c>
      <c r="J143" s="18">
        <v>197524</v>
      </c>
      <c r="K143" s="18">
        <f>+I143-J143</f>
        <v>198476</v>
      </c>
      <c r="L143" s="165">
        <v>6032</v>
      </c>
    </row>
    <row r="144" spans="1:114" s="120" customFormat="1" ht="11.25" x14ac:dyDescent="0.15">
      <c r="A144" s="257" t="s">
        <v>189</v>
      </c>
      <c r="B144" s="257"/>
      <c r="C144" s="257"/>
      <c r="D144" s="257"/>
      <c r="E144" s="257"/>
      <c r="F144" s="257"/>
      <c r="G144" s="92"/>
      <c r="H144" s="93"/>
      <c r="I144" s="94">
        <f>SUM(I137:I143)</f>
        <v>30651500</v>
      </c>
      <c r="J144" s="94">
        <f>SUM(J137:J143)</f>
        <v>25843547.93</v>
      </c>
      <c r="K144" s="94">
        <f>SUM(K137:K143)</f>
        <v>4807952.07</v>
      </c>
      <c r="L144" s="163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</row>
    <row r="145" spans="1:114" s="3" customFormat="1" ht="8.65" customHeight="1" x14ac:dyDescent="0.15">
      <c r="A145" s="18" t="s">
        <v>154</v>
      </c>
      <c r="B145" s="18" t="s">
        <v>190</v>
      </c>
      <c r="C145" s="18" t="s">
        <v>48</v>
      </c>
      <c r="D145" s="18" t="s">
        <v>191</v>
      </c>
      <c r="E145" s="18" t="s">
        <v>192</v>
      </c>
      <c r="F145" s="18" t="s">
        <v>193</v>
      </c>
      <c r="G145" s="18"/>
      <c r="H145" s="18"/>
      <c r="I145" s="51">
        <v>650000</v>
      </c>
      <c r="J145" s="18"/>
      <c r="K145" s="18">
        <f>+I145-J145</f>
        <v>650000</v>
      </c>
      <c r="L145" s="162" t="s">
        <v>551</v>
      </c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</row>
    <row r="146" spans="1:114" s="3" customFormat="1" ht="8.65" customHeight="1" x14ac:dyDescent="0.15">
      <c r="A146" s="44" t="s">
        <v>154</v>
      </c>
      <c r="B146" s="44" t="s">
        <v>140</v>
      </c>
      <c r="C146" s="44" t="s">
        <v>68</v>
      </c>
      <c r="D146" s="44" t="s">
        <v>162</v>
      </c>
      <c r="E146" s="44" t="s">
        <v>192</v>
      </c>
      <c r="F146" s="18"/>
      <c r="G146" s="18"/>
      <c r="H146" s="18"/>
      <c r="I146" s="51">
        <v>136000</v>
      </c>
      <c r="J146" s="18"/>
      <c r="K146" s="18">
        <f>+I146-J146</f>
        <v>136000</v>
      </c>
      <c r="L146" s="162" t="s">
        <v>551</v>
      </c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</row>
    <row r="147" spans="1:114" s="3" customFormat="1" ht="8.65" customHeight="1" x14ac:dyDescent="0.15">
      <c r="A147" s="18" t="s">
        <v>154</v>
      </c>
      <c r="B147" s="18" t="s">
        <v>169</v>
      </c>
      <c r="C147" s="18" t="s">
        <v>7</v>
      </c>
      <c r="D147" s="18" t="s">
        <v>170</v>
      </c>
      <c r="E147" s="18" t="s">
        <v>192</v>
      </c>
      <c r="F147" s="18"/>
      <c r="G147" s="18"/>
      <c r="H147" s="18">
        <v>33600</v>
      </c>
      <c r="I147" s="51">
        <f>350000-H147</f>
        <v>316400</v>
      </c>
      <c r="J147" s="18">
        <v>316400</v>
      </c>
      <c r="K147" s="18">
        <f t="shared" ref="K147:K158" si="6">+I147-J147</f>
        <v>0</v>
      </c>
      <c r="L147" s="165">
        <v>6128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</row>
    <row r="148" spans="1:114" s="3" customFormat="1" ht="8.65" customHeight="1" x14ac:dyDescent="0.15">
      <c r="A148" s="18" t="s">
        <v>154</v>
      </c>
      <c r="B148" s="18" t="s">
        <v>163</v>
      </c>
      <c r="C148" s="18" t="s">
        <v>48</v>
      </c>
      <c r="D148" s="18" t="s">
        <v>173</v>
      </c>
      <c r="E148" s="18" t="s">
        <v>192</v>
      </c>
      <c r="F148" s="18"/>
      <c r="G148" s="18">
        <v>16000000</v>
      </c>
      <c r="H148" s="18"/>
      <c r="I148" s="51">
        <f>38756873+G148</f>
        <v>54756873</v>
      </c>
      <c r="J148" s="18">
        <v>41180697.049999997</v>
      </c>
      <c r="K148" s="18">
        <f t="shared" si="6"/>
        <v>13576175.950000003</v>
      </c>
      <c r="L148" s="162" t="s">
        <v>462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</row>
    <row r="149" spans="1:114" s="3" customFormat="1" ht="8.65" customHeight="1" x14ac:dyDescent="0.15">
      <c r="A149" s="18" t="s">
        <v>154</v>
      </c>
      <c r="B149" s="18" t="s">
        <v>194</v>
      </c>
      <c r="C149" s="18" t="s">
        <v>101</v>
      </c>
      <c r="D149" s="18" t="s">
        <v>195</v>
      </c>
      <c r="E149" s="18" t="s">
        <v>192</v>
      </c>
      <c r="F149" s="18"/>
      <c r="G149" s="18"/>
      <c r="H149" s="18">
        <v>3500000</v>
      </c>
      <c r="I149" s="51">
        <f>3500000-H149</f>
        <v>0</v>
      </c>
      <c r="J149" s="18"/>
      <c r="K149" s="18">
        <f t="shared" si="6"/>
        <v>0</v>
      </c>
      <c r="L149" s="162" t="s">
        <v>551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</row>
    <row r="150" spans="1:114" s="3" customFormat="1" ht="8.65" customHeight="1" x14ac:dyDescent="0.15">
      <c r="A150" s="8" t="s">
        <v>154</v>
      </c>
      <c r="B150" s="8" t="s">
        <v>131</v>
      </c>
      <c r="C150" s="8" t="s">
        <v>92</v>
      </c>
      <c r="D150" s="8" t="s">
        <v>132</v>
      </c>
      <c r="E150" s="18" t="s">
        <v>192</v>
      </c>
      <c r="F150" s="18"/>
      <c r="G150" s="2"/>
      <c r="H150" s="2"/>
      <c r="I150" s="51">
        <v>1200000</v>
      </c>
      <c r="J150" s="2"/>
      <c r="K150" s="18">
        <f t="shared" si="6"/>
        <v>1200000</v>
      </c>
      <c r="L150" s="162" t="s">
        <v>551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</row>
    <row r="151" spans="1:114" s="3" customFormat="1" ht="8.65" customHeight="1" x14ac:dyDescent="0.15">
      <c r="A151" s="18" t="s">
        <v>154</v>
      </c>
      <c r="B151" s="18" t="s">
        <v>19</v>
      </c>
      <c r="C151" s="18" t="s">
        <v>20</v>
      </c>
      <c r="D151" s="18" t="s">
        <v>196</v>
      </c>
      <c r="E151" s="18" t="s">
        <v>192</v>
      </c>
      <c r="F151" s="18"/>
      <c r="G151" s="18"/>
      <c r="H151" s="18">
        <v>50000</v>
      </c>
      <c r="I151" s="51">
        <f>100000-H151</f>
        <v>50000</v>
      </c>
      <c r="J151" s="18"/>
      <c r="K151" s="18">
        <f t="shared" si="6"/>
        <v>50000</v>
      </c>
      <c r="L151" s="162" t="s">
        <v>551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</row>
    <row r="152" spans="1:114" s="3" customFormat="1" ht="8.65" customHeight="1" x14ac:dyDescent="0.15">
      <c r="A152" s="18" t="s">
        <v>154</v>
      </c>
      <c r="B152" s="18" t="s">
        <v>125</v>
      </c>
      <c r="C152" s="18" t="s">
        <v>36</v>
      </c>
      <c r="D152" s="18" t="s">
        <v>126</v>
      </c>
      <c r="E152" s="18" t="s">
        <v>192</v>
      </c>
      <c r="F152" s="18"/>
      <c r="G152" s="18"/>
      <c r="H152" s="18">
        <v>150000</v>
      </c>
      <c r="I152" s="51">
        <f>150000-H152</f>
        <v>0</v>
      </c>
      <c r="J152" s="18"/>
      <c r="K152" s="18">
        <f t="shared" si="6"/>
        <v>0</v>
      </c>
      <c r="L152" s="162" t="s">
        <v>551</v>
      </c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</row>
    <row r="153" spans="1:114" s="3" customFormat="1" ht="8.65" customHeight="1" x14ac:dyDescent="0.15">
      <c r="A153" s="18" t="s">
        <v>154</v>
      </c>
      <c r="B153" s="18" t="s">
        <v>174</v>
      </c>
      <c r="C153" s="18" t="s">
        <v>36</v>
      </c>
      <c r="D153" s="18" t="s">
        <v>175</v>
      </c>
      <c r="E153" s="18" t="s">
        <v>192</v>
      </c>
      <c r="F153" s="18"/>
      <c r="G153" s="18"/>
      <c r="H153" s="18">
        <v>200000</v>
      </c>
      <c r="I153" s="51">
        <f>200000-H153</f>
        <v>0</v>
      </c>
      <c r="J153" s="18"/>
      <c r="K153" s="18">
        <f t="shared" si="6"/>
        <v>0</v>
      </c>
      <c r="L153" s="162" t="s">
        <v>551</v>
      </c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</row>
    <row r="154" spans="1:114" s="3" customFormat="1" ht="8.65" customHeight="1" x14ac:dyDescent="0.15">
      <c r="A154" s="18" t="s">
        <v>154</v>
      </c>
      <c r="B154" s="18" t="s">
        <v>197</v>
      </c>
      <c r="C154" s="18" t="s">
        <v>48</v>
      </c>
      <c r="D154" s="18" t="s">
        <v>198</v>
      </c>
      <c r="E154" s="18" t="s">
        <v>192</v>
      </c>
      <c r="F154" s="18"/>
      <c r="G154" s="18"/>
      <c r="H154" s="18"/>
      <c r="I154" s="51">
        <v>1000000</v>
      </c>
      <c r="J154" s="18"/>
      <c r="K154" s="18">
        <f t="shared" si="6"/>
        <v>1000000</v>
      </c>
      <c r="L154" s="162" t="s">
        <v>551</v>
      </c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</row>
    <row r="155" spans="1:114" s="3" customFormat="1" ht="8.65" customHeight="1" x14ac:dyDescent="0.15">
      <c r="A155" s="18" t="s">
        <v>154</v>
      </c>
      <c r="B155" s="18" t="s">
        <v>176</v>
      </c>
      <c r="C155" s="18" t="s">
        <v>36</v>
      </c>
      <c r="D155" s="18" t="s">
        <v>199</v>
      </c>
      <c r="E155" s="18" t="s">
        <v>192</v>
      </c>
      <c r="F155" s="18"/>
      <c r="G155" s="18"/>
      <c r="H155" s="18">
        <v>150000</v>
      </c>
      <c r="I155" s="51">
        <f>150000-H155</f>
        <v>0</v>
      </c>
      <c r="J155" s="18"/>
      <c r="K155" s="18">
        <f t="shared" si="6"/>
        <v>0</v>
      </c>
      <c r="L155" s="162" t="s">
        <v>551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</row>
    <row r="156" spans="1:114" s="3" customFormat="1" ht="8.65" customHeight="1" x14ac:dyDescent="0.15">
      <c r="A156" s="18" t="s">
        <v>154</v>
      </c>
      <c r="B156" s="18" t="s">
        <v>200</v>
      </c>
      <c r="C156" s="18" t="s">
        <v>137</v>
      </c>
      <c r="D156" s="18" t="s">
        <v>201</v>
      </c>
      <c r="E156" s="18" t="s">
        <v>192</v>
      </c>
      <c r="F156" s="18"/>
      <c r="G156" s="18"/>
      <c r="H156" s="18"/>
      <c r="I156" s="51">
        <v>250000</v>
      </c>
      <c r="J156" s="18"/>
      <c r="K156" s="18">
        <f t="shared" si="6"/>
        <v>250000</v>
      </c>
      <c r="L156" s="162" t="s">
        <v>551</v>
      </c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</row>
    <row r="157" spans="1:114" s="3" customFormat="1" ht="8.65" customHeight="1" x14ac:dyDescent="0.15">
      <c r="A157" s="18" t="s">
        <v>154</v>
      </c>
      <c r="B157" s="18" t="s">
        <v>178</v>
      </c>
      <c r="C157" s="18" t="s">
        <v>25</v>
      </c>
      <c r="D157" s="18" t="s">
        <v>179</v>
      </c>
      <c r="E157" s="18" t="s">
        <v>192</v>
      </c>
      <c r="F157" s="18"/>
      <c r="G157" s="18"/>
      <c r="H157" s="18"/>
      <c r="I157" s="51">
        <v>79763100</v>
      </c>
      <c r="J157" s="18">
        <v>63000000</v>
      </c>
      <c r="K157" s="18">
        <f t="shared" si="6"/>
        <v>16763100</v>
      </c>
      <c r="L157" s="165">
        <v>6167</v>
      </c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</row>
    <row r="158" spans="1:114" s="3" customFormat="1" ht="8.65" customHeight="1" x14ac:dyDescent="0.15">
      <c r="A158" s="18" t="s">
        <v>154</v>
      </c>
      <c r="B158" s="18" t="s">
        <v>165</v>
      </c>
      <c r="C158" s="18" t="s">
        <v>12</v>
      </c>
      <c r="D158" s="18" t="s">
        <v>202</v>
      </c>
      <c r="E158" s="18" t="s">
        <v>192</v>
      </c>
      <c r="F158" s="18"/>
      <c r="G158" s="18"/>
      <c r="H158" s="18">
        <v>367440</v>
      </c>
      <c r="I158" s="51">
        <f>720000-H158</f>
        <v>352560</v>
      </c>
      <c r="J158" s="18">
        <f>27120+298320</f>
        <v>325440</v>
      </c>
      <c r="K158" s="18">
        <f t="shared" si="6"/>
        <v>27120</v>
      </c>
      <c r="L158" s="162" t="s">
        <v>638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</row>
    <row r="159" spans="1:114" s="120" customFormat="1" ht="10.15" customHeight="1" x14ac:dyDescent="0.15">
      <c r="A159" s="257" t="s">
        <v>203</v>
      </c>
      <c r="B159" s="257"/>
      <c r="C159" s="257"/>
      <c r="D159" s="257"/>
      <c r="E159" s="257"/>
      <c r="F159" s="257"/>
      <c r="G159" s="92"/>
      <c r="H159" s="93"/>
      <c r="I159" s="94">
        <f>SUM(I145:I158)</f>
        <v>138474933</v>
      </c>
      <c r="J159" s="94">
        <f>SUM(J145:J158)</f>
        <v>104822537.05</v>
      </c>
      <c r="K159" s="94">
        <f>SUM(K145:K158)</f>
        <v>33652395.950000003</v>
      </c>
      <c r="L159" s="163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</row>
    <row r="160" spans="1:114" s="95" customFormat="1" ht="8.25" x14ac:dyDescent="0.15">
      <c r="A160" s="8" t="s">
        <v>5</v>
      </c>
      <c r="B160" s="8" t="s">
        <v>190</v>
      </c>
      <c r="C160" s="8" t="s">
        <v>48</v>
      </c>
      <c r="D160" s="8" t="s">
        <v>204</v>
      </c>
      <c r="E160" s="8" t="s">
        <v>205</v>
      </c>
      <c r="F160" s="18" t="s">
        <v>206</v>
      </c>
      <c r="G160" s="18"/>
      <c r="H160" s="18"/>
      <c r="I160" s="51">
        <v>300000</v>
      </c>
      <c r="J160" s="18"/>
      <c r="K160" s="18">
        <f>+I160-J160</f>
        <v>300000</v>
      </c>
      <c r="L160" s="160" t="s">
        <v>551</v>
      </c>
    </row>
    <row r="161" spans="1:12" s="95" customFormat="1" ht="8.25" x14ac:dyDescent="0.15">
      <c r="A161" s="8" t="s">
        <v>5</v>
      </c>
      <c r="B161" s="44" t="s">
        <v>251</v>
      </c>
      <c r="C161" s="8" t="s">
        <v>48</v>
      </c>
      <c r="D161" s="8" t="s">
        <v>252</v>
      </c>
      <c r="E161" s="8" t="s">
        <v>205</v>
      </c>
      <c r="F161" s="18"/>
      <c r="G161" s="51">
        <v>1366000</v>
      </c>
      <c r="H161" s="18"/>
      <c r="I161" s="51">
        <v>1366000</v>
      </c>
      <c r="J161" s="18">
        <v>1365051.3</v>
      </c>
      <c r="K161" s="18">
        <f t="shared" ref="K161:K184" si="7">+I161-J161</f>
        <v>948.69999999995343</v>
      </c>
      <c r="L161" s="160" t="s">
        <v>509</v>
      </c>
    </row>
    <row r="162" spans="1:12" s="95" customFormat="1" ht="8.25" x14ac:dyDescent="0.15">
      <c r="A162" s="8" t="s">
        <v>5</v>
      </c>
      <c r="B162" s="8" t="s">
        <v>140</v>
      </c>
      <c r="C162" s="8" t="s">
        <v>68</v>
      </c>
      <c r="D162" s="8" t="s">
        <v>141</v>
      </c>
      <c r="E162" s="8" t="s">
        <v>210</v>
      </c>
      <c r="F162" s="18"/>
      <c r="G162" s="18">
        <v>600000</v>
      </c>
      <c r="H162" s="18"/>
      <c r="I162" s="51">
        <v>600000</v>
      </c>
      <c r="J162" s="18">
        <v>99779.9</v>
      </c>
      <c r="K162" s="18">
        <f t="shared" si="7"/>
        <v>500220.1</v>
      </c>
      <c r="L162" s="160" t="s">
        <v>415</v>
      </c>
    </row>
    <row r="163" spans="1:12" s="95" customFormat="1" ht="8.25" x14ac:dyDescent="0.15">
      <c r="A163" s="8" t="s">
        <v>5</v>
      </c>
      <c r="B163" s="8" t="s">
        <v>207</v>
      </c>
      <c r="C163" s="8" t="s">
        <v>208</v>
      </c>
      <c r="D163" s="8" t="s">
        <v>209</v>
      </c>
      <c r="E163" s="8" t="s">
        <v>205</v>
      </c>
      <c r="F163" s="18"/>
      <c r="G163" s="18"/>
      <c r="H163" s="18">
        <v>16826039</v>
      </c>
      <c r="I163" s="51">
        <f>16826039-H163</f>
        <v>0</v>
      </c>
      <c r="J163" s="18"/>
      <c r="K163" s="18">
        <f t="shared" si="7"/>
        <v>0</v>
      </c>
      <c r="L163" s="160" t="s">
        <v>413</v>
      </c>
    </row>
    <row r="164" spans="1:12" s="95" customFormat="1" ht="8.25" x14ac:dyDescent="0.15">
      <c r="A164" s="8" t="s">
        <v>5</v>
      </c>
      <c r="B164" s="8" t="s">
        <v>211</v>
      </c>
      <c r="C164" s="8" t="s">
        <v>73</v>
      </c>
      <c r="D164" s="8" t="s">
        <v>212</v>
      </c>
      <c r="E164" s="8" t="s">
        <v>205</v>
      </c>
      <c r="F164" s="18"/>
      <c r="G164" s="18"/>
      <c r="H164" s="18">
        <v>1055000</v>
      </c>
      <c r="I164" s="51">
        <f>10000000-H164</f>
        <v>8945000</v>
      </c>
      <c r="J164" s="18">
        <f>8835849.86+80241.3</f>
        <v>8916091.1600000001</v>
      </c>
      <c r="K164" s="18">
        <f t="shared" si="7"/>
        <v>28908.839999999851</v>
      </c>
      <c r="L164" s="67" t="s">
        <v>535</v>
      </c>
    </row>
    <row r="165" spans="1:12" s="95" customFormat="1" ht="8.25" x14ac:dyDescent="0.15">
      <c r="A165" s="8" t="s">
        <v>5</v>
      </c>
      <c r="B165" s="8" t="s">
        <v>160</v>
      </c>
      <c r="C165" s="8" t="s">
        <v>101</v>
      </c>
      <c r="D165" s="8" t="s">
        <v>161</v>
      </c>
      <c r="E165" s="8" t="s">
        <v>205</v>
      </c>
      <c r="F165" s="18"/>
      <c r="G165" s="18"/>
      <c r="H165" s="18">
        <v>102060</v>
      </c>
      <c r="I165" s="51">
        <f>250000-H165</f>
        <v>147940</v>
      </c>
      <c r="J165" s="18">
        <f>98626.4+49313.2</f>
        <v>147939.59999999998</v>
      </c>
      <c r="K165" s="18">
        <f t="shared" si="7"/>
        <v>0.40000000002328306</v>
      </c>
      <c r="L165" s="160">
        <v>6135</v>
      </c>
    </row>
    <row r="166" spans="1:12" s="95" customFormat="1" ht="8.25" x14ac:dyDescent="0.15">
      <c r="A166" s="8" t="s">
        <v>5</v>
      </c>
      <c r="B166" s="8" t="s">
        <v>213</v>
      </c>
      <c r="C166" s="8" t="s">
        <v>214</v>
      </c>
      <c r="D166" s="8" t="s">
        <v>215</v>
      </c>
      <c r="E166" s="8" t="s">
        <v>205</v>
      </c>
      <c r="F166" s="18"/>
      <c r="G166" s="18"/>
      <c r="H166" s="18"/>
      <c r="I166" s="51">
        <v>3100000</v>
      </c>
      <c r="J166" s="18">
        <f>332694.6+1663473</f>
        <v>1996167.6</v>
      </c>
      <c r="K166" s="18">
        <f t="shared" si="7"/>
        <v>1103832.3999999999</v>
      </c>
      <c r="L166" s="160">
        <v>6055</v>
      </c>
    </row>
    <row r="167" spans="1:12" s="95" customFormat="1" ht="8.25" x14ac:dyDescent="0.15">
      <c r="A167" s="8" t="s">
        <v>5</v>
      </c>
      <c r="B167" s="8" t="s">
        <v>216</v>
      </c>
      <c r="C167" s="8" t="s">
        <v>214</v>
      </c>
      <c r="D167" s="8" t="s">
        <v>217</v>
      </c>
      <c r="E167" s="8" t="s">
        <v>205</v>
      </c>
      <c r="F167" s="18"/>
      <c r="G167" s="18"/>
      <c r="H167" s="18">
        <v>60000000</v>
      </c>
      <c r="I167" s="51">
        <f>60000000-H167</f>
        <v>0</v>
      </c>
      <c r="J167" s="18"/>
      <c r="K167" s="18">
        <f t="shared" si="7"/>
        <v>0</v>
      </c>
      <c r="L167" s="160" t="s">
        <v>410</v>
      </c>
    </row>
    <row r="168" spans="1:12" s="95" customFormat="1" ht="8.25" x14ac:dyDescent="0.15">
      <c r="A168" s="8" t="s">
        <v>5</v>
      </c>
      <c r="B168" s="8" t="s">
        <v>218</v>
      </c>
      <c r="C168" s="8" t="s">
        <v>214</v>
      </c>
      <c r="D168" s="8" t="s">
        <v>219</v>
      </c>
      <c r="E168" s="8" t="s">
        <v>205</v>
      </c>
      <c r="F168" s="18"/>
      <c r="G168" s="18"/>
      <c r="H168" s="18"/>
      <c r="I168" s="51">
        <v>1300000</v>
      </c>
      <c r="J168" s="18">
        <v>486121.82</v>
      </c>
      <c r="K168" s="18">
        <f t="shared" si="7"/>
        <v>813878.17999999993</v>
      </c>
      <c r="L168" s="160" t="s">
        <v>385</v>
      </c>
    </row>
    <row r="169" spans="1:12" s="95" customFormat="1" ht="8.25" x14ac:dyDescent="0.15">
      <c r="A169" s="8" t="s">
        <v>5</v>
      </c>
      <c r="B169" s="8" t="s">
        <v>220</v>
      </c>
      <c r="C169" s="8" t="s">
        <v>214</v>
      </c>
      <c r="D169" s="8" t="s">
        <v>221</v>
      </c>
      <c r="E169" s="8" t="s">
        <v>205</v>
      </c>
      <c r="F169" s="18"/>
      <c r="G169" s="18"/>
      <c r="H169" s="18">
        <v>300000</v>
      </c>
      <c r="I169" s="51">
        <f>700000-H169</f>
        <v>400000</v>
      </c>
      <c r="J169" s="18"/>
      <c r="K169" s="18">
        <f t="shared" si="7"/>
        <v>400000</v>
      </c>
      <c r="L169" s="160" t="s">
        <v>410</v>
      </c>
    </row>
    <row r="170" spans="1:12" s="95" customFormat="1" ht="8.25" x14ac:dyDescent="0.15">
      <c r="A170" s="8" t="s">
        <v>5</v>
      </c>
      <c r="B170" s="8" t="s">
        <v>222</v>
      </c>
      <c r="C170" s="8" t="s">
        <v>48</v>
      </c>
      <c r="D170" s="8" t="s">
        <v>223</v>
      </c>
      <c r="E170" s="8" t="s">
        <v>205</v>
      </c>
      <c r="F170" s="18"/>
      <c r="G170" s="18"/>
      <c r="H170" s="18">
        <v>2000000</v>
      </c>
      <c r="I170" s="51">
        <f>2000000-H170</f>
        <v>0</v>
      </c>
      <c r="J170" s="18"/>
      <c r="K170" s="18">
        <f t="shared" si="7"/>
        <v>0</v>
      </c>
      <c r="L170" s="160" t="s">
        <v>551</v>
      </c>
    </row>
    <row r="171" spans="1:12" s="95" customFormat="1" ht="8.25" x14ac:dyDescent="0.15">
      <c r="A171" s="8" t="s">
        <v>5</v>
      </c>
      <c r="B171" s="8" t="s">
        <v>224</v>
      </c>
      <c r="C171" s="8" t="s">
        <v>7</v>
      </c>
      <c r="D171" s="8" t="s">
        <v>225</v>
      </c>
      <c r="E171" s="8" t="s">
        <v>205</v>
      </c>
      <c r="F171" s="18"/>
      <c r="G171" s="18"/>
      <c r="H171" s="18">
        <v>1800000</v>
      </c>
      <c r="I171" s="51">
        <f>1800000-H171</f>
        <v>0</v>
      </c>
      <c r="J171" s="18"/>
      <c r="K171" s="18">
        <f t="shared" si="7"/>
        <v>0</v>
      </c>
      <c r="L171" s="160" t="s">
        <v>551</v>
      </c>
    </row>
    <row r="172" spans="1:12" s="95" customFormat="1" ht="8.25" x14ac:dyDescent="0.15">
      <c r="A172" s="8" t="s">
        <v>5</v>
      </c>
      <c r="B172" s="8" t="s">
        <v>226</v>
      </c>
      <c r="C172" s="8" t="s">
        <v>73</v>
      </c>
      <c r="D172" s="8" t="s">
        <v>227</v>
      </c>
      <c r="E172" s="8" t="s">
        <v>205</v>
      </c>
      <c r="F172" s="18"/>
      <c r="G172" s="18"/>
      <c r="H172" s="18"/>
      <c r="I172" s="51">
        <v>100000</v>
      </c>
      <c r="J172" s="18"/>
      <c r="K172" s="18">
        <f t="shared" si="7"/>
        <v>100000</v>
      </c>
      <c r="L172" s="160" t="s">
        <v>551</v>
      </c>
    </row>
    <row r="173" spans="1:12" s="95" customFormat="1" ht="8.25" x14ac:dyDescent="0.15">
      <c r="A173" s="8" t="s">
        <v>5</v>
      </c>
      <c r="B173" s="8" t="s">
        <v>47</v>
      </c>
      <c r="C173" s="8" t="s">
        <v>48</v>
      </c>
      <c r="D173" s="8" t="s">
        <v>49</v>
      </c>
      <c r="E173" s="8" t="s">
        <v>205</v>
      </c>
      <c r="F173" s="18"/>
      <c r="G173" s="18"/>
      <c r="H173" s="18"/>
      <c r="I173" s="51">
        <v>7200000</v>
      </c>
      <c r="J173" s="18">
        <f>507412.19+2029648.76+3564710.66</f>
        <v>6101771.6100000003</v>
      </c>
      <c r="K173" s="18">
        <f t="shared" si="7"/>
        <v>1098228.3899999997</v>
      </c>
      <c r="L173" s="160" t="s">
        <v>406</v>
      </c>
    </row>
    <row r="174" spans="1:12" s="95" customFormat="1" ht="8.25" x14ac:dyDescent="0.15">
      <c r="A174" s="8" t="s">
        <v>5</v>
      </c>
      <c r="B174" s="8" t="s">
        <v>228</v>
      </c>
      <c r="C174" s="8" t="s">
        <v>48</v>
      </c>
      <c r="D174" s="8" t="s">
        <v>229</v>
      </c>
      <c r="E174" s="8" t="s">
        <v>205</v>
      </c>
      <c r="F174" s="18"/>
      <c r="G174" s="18"/>
      <c r="H174" s="18"/>
      <c r="I174" s="51">
        <v>1200000</v>
      </c>
      <c r="J174" s="18">
        <f>734800</f>
        <v>734800</v>
      </c>
      <c r="K174" s="18">
        <f t="shared" si="7"/>
        <v>465200</v>
      </c>
      <c r="L174" s="160">
        <v>6065</v>
      </c>
    </row>
    <row r="175" spans="1:12" s="95" customFormat="1" ht="8.25" x14ac:dyDescent="0.15">
      <c r="A175" s="8" t="s">
        <v>5</v>
      </c>
      <c r="B175" s="8" t="s">
        <v>230</v>
      </c>
      <c r="C175" s="8" t="s">
        <v>231</v>
      </c>
      <c r="D175" s="8" t="s">
        <v>232</v>
      </c>
      <c r="E175" s="8" t="s">
        <v>205</v>
      </c>
      <c r="F175" s="18"/>
      <c r="G175" s="18"/>
      <c r="H175" s="18"/>
      <c r="I175" s="51">
        <v>300000</v>
      </c>
      <c r="J175" s="18"/>
      <c r="K175" s="18">
        <f t="shared" si="7"/>
        <v>300000</v>
      </c>
      <c r="L175" s="160" t="s">
        <v>551</v>
      </c>
    </row>
    <row r="176" spans="1:12" s="95" customFormat="1" ht="8.25" x14ac:dyDescent="0.15">
      <c r="A176" s="8" t="s">
        <v>5</v>
      </c>
      <c r="B176" s="8" t="s">
        <v>233</v>
      </c>
      <c r="C176" s="8" t="s">
        <v>231</v>
      </c>
      <c r="D176" s="8" t="s">
        <v>234</v>
      </c>
      <c r="E176" s="8" t="s">
        <v>205</v>
      </c>
      <c r="F176" s="18"/>
      <c r="G176" s="18"/>
      <c r="H176" s="18"/>
      <c r="I176" s="51">
        <v>1500000</v>
      </c>
      <c r="J176" s="18"/>
      <c r="K176" s="18">
        <f t="shared" si="7"/>
        <v>1500000</v>
      </c>
      <c r="L176" s="160" t="s">
        <v>551</v>
      </c>
    </row>
    <row r="177" spans="1:114" s="95" customFormat="1" ht="8.25" x14ac:dyDescent="0.15">
      <c r="A177" s="8" t="s">
        <v>5</v>
      </c>
      <c r="B177" s="8" t="s">
        <v>131</v>
      </c>
      <c r="C177" s="8" t="s">
        <v>92</v>
      </c>
      <c r="D177" s="8" t="s">
        <v>132</v>
      </c>
      <c r="E177" s="8" t="s">
        <v>210</v>
      </c>
      <c r="F177" s="18"/>
      <c r="G177" s="18"/>
      <c r="H177" s="18"/>
      <c r="I177" s="51">
        <v>2410600</v>
      </c>
      <c r="J177" s="18">
        <v>2098770.2400000002</v>
      </c>
      <c r="K177" s="18">
        <f t="shared" si="7"/>
        <v>311829.75999999978</v>
      </c>
      <c r="L177" s="160" t="s">
        <v>551</v>
      </c>
    </row>
    <row r="178" spans="1:114" s="95" customFormat="1" ht="8.25" x14ac:dyDescent="0.15">
      <c r="A178" s="8" t="s">
        <v>5</v>
      </c>
      <c r="B178" s="8" t="s">
        <v>35</v>
      </c>
      <c r="C178" s="8" t="s">
        <v>36</v>
      </c>
      <c r="D178" s="8" t="s">
        <v>37</v>
      </c>
      <c r="E178" s="8" t="s">
        <v>205</v>
      </c>
      <c r="F178" s="18"/>
      <c r="G178" s="18"/>
      <c r="H178" s="18">
        <v>100000</v>
      </c>
      <c r="I178" s="51">
        <f>100000-H178</f>
        <v>0</v>
      </c>
      <c r="J178" s="18"/>
      <c r="K178" s="18">
        <f t="shared" si="7"/>
        <v>0</v>
      </c>
      <c r="L178" s="160" t="s">
        <v>551</v>
      </c>
    </row>
    <row r="179" spans="1:114" s="95" customFormat="1" ht="8.25" x14ac:dyDescent="0.15">
      <c r="A179" s="8" t="s">
        <v>5</v>
      </c>
      <c r="B179" s="8" t="s">
        <v>200</v>
      </c>
      <c r="C179" s="8" t="s">
        <v>137</v>
      </c>
      <c r="D179" s="8" t="s">
        <v>235</v>
      </c>
      <c r="E179" s="8" t="s">
        <v>205</v>
      </c>
      <c r="F179" s="18"/>
      <c r="G179" s="18"/>
      <c r="H179" s="18"/>
      <c r="I179" s="51">
        <v>300000</v>
      </c>
      <c r="J179" s="18"/>
      <c r="K179" s="18">
        <f t="shared" si="7"/>
        <v>300000</v>
      </c>
      <c r="L179" s="160" t="s">
        <v>551</v>
      </c>
    </row>
    <row r="180" spans="1:114" s="95" customFormat="1" ht="8.25" x14ac:dyDescent="0.15">
      <c r="A180" s="8" t="s">
        <v>236</v>
      </c>
      <c r="B180" s="8" t="s">
        <v>237</v>
      </c>
      <c r="C180" s="8" t="s">
        <v>238</v>
      </c>
      <c r="D180" s="8" t="s">
        <v>239</v>
      </c>
      <c r="E180" s="8" t="s">
        <v>205</v>
      </c>
      <c r="F180" s="18"/>
      <c r="G180" s="18">
        <v>630154</v>
      </c>
      <c r="H180" s="18">
        <f>1409923+G180</f>
        <v>2040077</v>
      </c>
      <c r="I180" s="51">
        <f>3450000+G180-H180</f>
        <v>2040077</v>
      </c>
      <c r="J180" s="18">
        <v>2012071.88</v>
      </c>
      <c r="K180" s="18">
        <f t="shared" si="7"/>
        <v>28005.120000000112</v>
      </c>
      <c r="L180" s="67" t="s">
        <v>510</v>
      </c>
    </row>
    <row r="181" spans="1:114" s="95" customFormat="1" ht="8.25" x14ac:dyDescent="0.15">
      <c r="A181" s="8" t="s">
        <v>236</v>
      </c>
      <c r="B181" s="8" t="s">
        <v>242</v>
      </c>
      <c r="C181" s="8" t="s">
        <v>238</v>
      </c>
      <c r="D181" s="8" t="s">
        <v>276</v>
      </c>
      <c r="E181" s="8" t="s">
        <v>205</v>
      </c>
      <c r="F181" s="18"/>
      <c r="G181" s="18">
        <f>1000000+2323182.35+3845000+1000057</f>
        <v>8168239.3499999996</v>
      </c>
      <c r="H181" s="18"/>
      <c r="I181" s="51">
        <v>6168182.3499999996</v>
      </c>
      <c r="J181" s="18">
        <v>6158500</v>
      </c>
      <c r="K181" s="18">
        <f t="shared" si="7"/>
        <v>9682.3499999996275</v>
      </c>
      <c r="L181" s="160" t="s">
        <v>493</v>
      </c>
    </row>
    <row r="182" spans="1:114" s="95" customFormat="1" ht="8.25" x14ac:dyDescent="0.15">
      <c r="A182" s="8" t="s">
        <v>236</v>
      </c>
      <c r="B182" s="8" t="s">
        <v>240</v>
      </c>
      <c r="C182" s="8" t="s">
        <v>238</v>
      </c>
      <c r="D182" s="8" t="s">
        <v>241</v>
      </c>
      <c r="E182" s="8" t="s">
        <v>205</v>
      </c>
      <c r="F182" s="18"/>
      <c r="G182" s="18"/>
      <c r="H182" s="18"/>
      <c r="I182" s="51">
        <v>400000</v>
      </c>
      <c r="J182" s="18">
        <v>11300</v>
      </c>
      <c r="K182" s="18">
        <f t="shared" si="7"/>
        <v>388700</v>
      </c>
      <c r="L182" s="160" t="s">
        <v>551</v>
      </c>
    </row>
    <row r="183" spans="1:114" s="95" customFormat="1" ht="8.25" x14ac:dyDescent="0.15">
      <c r="A183" s="8" t="s">
        <v>236</v>
      </c>
      <c r="B183" s="8" t="s">
        <v>242</v>
      </c>
      <c r="C183" s="8" t="s">
        <v>238</v>
      </c>
      <c r="D183" s="8" t="s">
        <v>243</v>
      </c>
      <c r="E183" s="8" t="s">
        <v>205</v>
      </c>
      <c r="F183" s="18"/>
      <c r="G183" s="18"/>
      <c r="H183" s="18"/>
      <c r="I183" s="51">
        <v>55000</v>
      </c>
      <c r="J183" s="18">
        <v>50850</v>
      </c>
      <c r="K183" s="18">
        <f t="shared" si="7"/>
        <v>4150</v>
      </c>
      <c r="L183" s="160" t="s">
        <v>551</v>
      </c>
    </row>
    <row r="184" spans="1:114" s="95" customFormat="1" ht="8.25" x14ac:dyDescent="0.15">
      <c r="A184" s="8" t="s">
        <v>236</v>
      </c>
      <c r="B184" s="8" t="s">
        <v>244</v>
      </c>
      <c r="C184" s="8" t="s">
        <v>238</v>
      </c>
      <c r="D184" s="8" t="s">
        <v>245</v>
      </c>
      <c r="E184" s="8" t="s">
        <v>205</v>
      </c>
      <c r="F184" s="18"/>
      <c r="G184" s="18"/>
      <c r="H184" s="18">
        <v>500000</v>
      </c>
      <c r="I184" s="51">
        <f>500000-H184</f>
        <v>0</v>
      </c>
      <c r="J184" s="18"/>
      <c r="K184" s="18">
        <f t="shared" si="7"/>
        <v>0</v>
      </c>
      <c r="L184" s="160" t="s">
        <v>416</v>
      </c>
    </row>
    <row r="185" spans="1:114" s="123" customFormat="1" ht="10.15" customHeight="1" x14ac:dyDescent="0.15">
      <c r="A185" s="259" t="s">
        <v>246</v>
      </c>
      <c r="B185" s="259"/>
      <c r="C185" s="259"/>
      <c r="D185" s="259"/>
      <c r="E185" s="259"/>
      <c r="F185" s="259"/>
      <c r="G185" s="92"/>
      <c r="H185" s="93"/>
      <c r="I185" s="94">
        <f>SUM(I160:I184)</f>
        <v>37832799.350000001</v>
      </c>
      <c r="J185" s="94">
        <f>SUM(J160:J184)</f>
        <v>30179215.109999996</v>
      </c>
      <c r="K185" s="94">
        <f>SUM(K160:K184)</f>
        <v>7653584.2399999993</v>
      </c>
      <c r="L185" s="161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</row>
    <row r="186" spans="1:114" s="3" customFormat="1" ht="8.65" customHeight="1" x14ac:dyDescent="0.15">
      <c r="A186" s="8" t="s">
        <v>5</v>
      </c>
      <c r="B186" s="8" t="s">
        <v>211</v>
      </c>
      <c r="C186" s="8" t="s">
        <v>73</v>
      </c>
      <c r="D186" s="8" t="s">
        <v>212</v>
      </c>
      <c r="E186" s="8" t="s">
        <v>247</v>
      </c>
      <c r="F186" s="18" t="s">
        <v>248</v>
      </c>
      <c r="G186" s="18">
        <v>955000</v>
      </c>
      <c r="H186" s="18"/>
      <c r="I186" s="51">
        <f>500000+G186</f>
        <v>1455000</v>
      </c>
      <c r="J186" s="18">
        <f>484770+484770+478078.71</f>
        <v>1447618.71</v>
      </c>
      <c r="K186" s="18">
        <f>+I186-J186</f>
        <v>7381.2900000000373</v>
      </c>
      <c r="L186" s="160" t="s">
        <v>418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</row>
    <row r="187" spans="1:114" s="3" customFormat="1" ht="8.65" customHeight="1" x14ac:dyDescent="0.15">
      <c r="A187" s="8" t="s">
        <v>5</v>
      </c>
      <c r="B187" s="8" t="s">
        <v>160</v>
      </c>
      <c r="C187" s="8" t="s">
        <v>101</v>
      </c>
      <c r="D187" s="8" t="s">
        <v>161</v>
      </c>
      <c r="E187" s="8" t="s">
        <v>247</v>
      </c>
      <c r="F187" s="18"/>
      <c r="G187" s="18"/>
      <c r="H187" s="18">
        <v>250000</v>
      </c>
      <c r="I187" s="51">
        <f>250000-H187</f>
        <v>0</v>
      </c>
      <c r="J187" s="18"/>
      <c r="K187" s="18"/>
      <c r="L187" s="160" t="s">
        <v>551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</row>
    <row r="188" spans="1:114" s="3" customFormat="1" ht="8.65" customHeight="1" x14ac:dyDescent="0.15">
      <c r="A188" s="8" t="s">
        <v>5</v>
      </c>
      <c r="B188" s="8" t="s">
        <v>249</v>
      </c>
      <c r="C188" s="8" t="s">
        <v>68</v>
      </c>
      <c r="D188" s="8" t="s">
        <v>250</v>
      </c>
      <c r="E188" s="8" t="s">
        <v>247</v>
      </c>
      <c r="F188" s="18"/>
      <c r="G188" s="18"/>
      <c r="H188" s="18"/>
      <c r="I188" s="51">
        <v>300000</v>
      </c>
      <c r="J188" s="18"/>
      <c r="K188" s="18">
        <f>+I188-J188</f>
        <v>300000</v>
      </c>
      <c r="L188" s="160" t="s">
        <v>551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</row>
    <row r="189" spans="1:114" s="3" customFormat="1" ht="8.65" customHeight="1" x14ac:dyDescent="0.15">
      <c r="A189" s="8" t="s">
        <v>5</v>
      </c>
      <c r="B189" s="8" t="s">
        <v>140</v>
      </c>
      <c r="C189" s="8" t="s">
        <v>68</v>
      </c>
      <c r="D189" s="8" t="s">
        <v>162</v>
      </c>
      <c r="E189" s="8" t="s">
        <v>247</v>
      </c>
      <c r="F189" s="18"/>
      <c r="G189" s="18"/>
      <c r="H189" s="18">
        <v>100000</v>
      </c>
      <c r="I189" s="51">
        <f>100000-H189</f>
        <v>0</v>
      </c>
      <c r="J189" s="18"/>
      <c r="K189" s="18"/>
      <c r="L189" s="160" t="s">
        <v>416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</row>
    <row r="190" spans="1:114" s="3" customFormat="1" ht="8.65" customHeight="1" x14ac:dyDescent="0.15">
      <c r="A190" s="8" t="s">
        <v>236</v>
      </c>
      <c r="B190" s="8" t="s">
        <v>251</v>
      </c>
      <c r="C190" s="8" t="s">
        <v>48</v>
      </c>
      <c r="D190" s="8" t="s">
        <v>252</v>
      </c>
      <c r="E190" s="8" t="s">
        <v>247</v>
      </c>
      <c r="F190" s="18"/>
      <c r="G190" s="18"/>
      <c r="H190" s="18">
        <v>2528153.33</v>
      </c>
      <c r="I190" s="51">
        <f>5000000-H190</f>
        <v>2471846.67</v>
      </c>
      <c r="J190" s="18"/>
      <c r="K190" s="18">
        <f t="shared" ref="K190:K198" si="8">+I190-J190</f>
        <v>2471846.67</v>
      </c>
      <c r="L190" s="160" t="s">
        <v>498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</row>
    <row r="191" spans="1:114" s="9" customFormat="1" ht="8.65" customHeight="1" x14ac:dyDescent="0.15">
      <c r="A191" s="8" t="s">
        <v>236</v>
      </c>
      <c r="B191" s="8" t="s">
        <v>190</v>
      </c>
      <c r="C191" s="8" t="s">
        <v>48</v>
      </c>
      <c r="D191" s="8" t="s">
        <v>204</v>
      </c>
      <c r="E191" s="8" t="s">
        <v>247</v>
      </c>
      <c r="F191" s="18"/>
      <c r="G191" s="18"/>
      <c r="H191" s="18"/>
      <c r="I191" s="51">
        <v>5420000</v>
      </c>
      <c r="J191" s="18">
        <f>1884856.36+38468.74+78292.5+113823.51+76792.95+89909.32+86868.06+54719+221492.08+37836.33+99012.97+105362.47</f>
        <v>2887434.2900000005</v>
      </c>
      <c r="K191" s="18">
        <f t="shared" si="8"/>
        <v>2532565.7099999995</v>
      </c>
      <c r="L191" s="160" t="s">
        <v>545</v>
      </c>
    </row>
    <row r="192" spans="1:114" s="3" customFormat="1" ht="8.65" customHeight="1" x14ac:dyDescent="0.15">
      <c r="A192" s="8" t="s">
        <v>236</v>
      </c>
      <c r="B192" s="8" t="s">
        <v>253</v>
      </c>
      <c r="C192" s="8" t="s">
        <v>238</v>
      </c>
      <c r="D192" s="8" t="s">
        <v>254</v>
      </c>
      <c r="E192" s="8" t="s">
        <v>247</v>
      </c>
      <c r="F192" s="18"/>
      <c r="G192" s="18"/>
      <c r="H192" s="18"/>
      <c r="I192" s="51">
        <v>3098208</v>
      </c>
      <c r="J192" s="18">
        <f>1379354.39+937936.8+743488.02</f>
        <v>3060779.21</v>
      </c>
      <c r="K192" s="18">
        <f t="shared" si="8"/>
        <v>37428.790000000037</v>
      </c>
      <c r="L192" s="160" t="s">
        <v>639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</row>
    <row r="193" spans="1:114" s="3" customFormat="1" ht="8.65" customHeight="1" x14ac:dyDescent="0.15">
      <c r="A193" s="8" t="s">
        <v>236</v>
      </c>
      <c r="B193" s="8" t="s">
        <v>255</v>
      </c>
      <c r="C193" s="8" t="s">
        <v>48</v>
      </c>
      <c r="D193" s="8" t="s">
        <v>256</v>
      </c>
      <c r="E193" s="8" t="s">
        <v>247</v>
      </c>
      <c r="F193" s="18"/>
      <c r="G193" s="18"/>
      <c r="H193" s="18"/>
      <c r="I193" s="51">
        <v>5000000</v>
      </c>
      <c r="J193" s="18"/>
      <c r="K193" s="18">
        <f t="shared" si="8"/>
        <v>5000000</v>
      </c>
      <c r="L193" s="160" t="s">
        <v>551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</row>
    <row r="194" spans="1:114" s="3" customFormat="1" ht="8.65" customHeight="1" x14ac:dyDescent="0.15">
      <c r="A194" s="8" t="s">
        <v>236</v>
      </c>
      <c r="B194" s="8" t="s">
        <v>257</v>
      </c>
      <c r="C194" s="8" t="s">
        <v>48</v>
      </c>
      <c r="D194" s="8" t="s">
        <v>258</v>
      </c>
      <c r="E194" s="8" t="s">
        <v>247</v>
      </c>
      <c r="F194" s="18"/>
      <c r="G194" s="18"/>
      <c r="H194" s="18">
        <v>16560000</v>
      </c>
      <c r="I194" s="51">
        <f>150100000-H194</f>
        <v>133540000</v>
      </c>
      <c r="J194" s="18">
        <f>2006272.36+1263769.54+947487.51+2076512.2+1773581.46+2628825.58+1928349.24+2686842.22+2524924.2+964862.22+5648256.92+3524559.52+3009408.54+1895654.31+1421231.26+3114768.3+2660372.19+3943238.37+2892523.86+4030263.33+3787386.3+1447293.33+8472385.38+5286839.28+62104353.85</f>
        <v>132039961.26999998</v>
      </c>
      <c r="K194" s="18">
        <f t="shared" si="8"/>
        <v>1500038.7300000191</v>
      </c>
      <c r="L194" s="160" t="s">
        <v>389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</row>
    <row r="195" spans="1:114" s="3" customFormat="1" ht="8.65" customHeight="1" x14ac:dyDescent="0.15">
      <c r="A195" s="8" t="s">
        <v>236</v>
      </c>
      <c r="B195" s="8" t="s">
        <v>14</v>
      </c>
      <c r="C195" s="8" t="s">
        <v>12</v>
      </c>
      <c r="D195" s="8" t="s">
        <v>15</v>
      </c>
      <c r="E195" s="8" t="s">
        <v>247</v>
      </c>
      <c r="F195" s="18"/>
      <c r="G195" s="18"/>
      <c r="H195" s="18"/>
      <c r="I195" s="51">
        <v>3500000</v>
      </c>
      <c r="J195" s="18"/>
      <c r="K195" s="18">
        <f t="shared" si="8"/>
        <v>3500000</v>
      </c>
      <c r="L195" s="160" t="s">
        <v>551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</row>
    <row r="196" spans="1:114" s="3" customFormat="1" ht="8.65" customHeight="1" x14ac:dyDescent="0.15">
      <c r="A196" s="8" t="s">
        <v>236</v>
      </c>
      <c r="B196" s="8" t="s">
        <v>259</v>
      </c>
      <c r="C196" s="8" t="s">
        <v>12</v>
      </c>
      <c r="D196" s="8" t="s">
        <v>260</v>
      </c>
      <c r="E196" s="8" t="s">
        <v>247</v>
      </c>
      <c r="F196" s="18"/>
      <c r="G196" s="18"/>
      <c r="H196" s="18"/>
      <c r="I196" s="51">
        <v>3500000</v>
      </c>
      <c r="J196" s="18"/>
      <c r="K196" s="18">
        <f t="shared" si="8"/>
        <v>3500000</v>
      </c>
      <c r="L196" s="160" t="s">
        <v>551</v>
      </c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</row>
    <row r="197" spans="1:114" s="3" customFormat="1" ht="8.65" customHeight="1" x14ac:dyDescent="0.15">
      <c r="A197" s="8" t="s">
        <v>236</v>
      </c>
      <c r="B197" s="8" t="s">
        <v>228</v>
      </c>
      <c r="C197" s="8" t="s">
        <v>48</v>
      </c>
      <c r="D197" s="8" t="s">
        <v>261</v>
      </c>
      <c r="E197" s="8" t="s">
        <v>247</v>
      </c>
      <c r="F197" s="18"/>
      <c r="G197" s="18"/>
      <c r="H197" s="18">
        <v>500000</v>
      </c>
      <c r="I197" s="51">
        <f>2000000-H197</f>
        <v>1500000</v>
      </c>
      <c r="J197" s="18">
        <v>1338248.76</v>
      </c>
      <c r="K197" s="18">
        <f t="shared" si="8"/>
        <v>161751.24</v>
      </c>
      <c r="L197" s="160">
        <v>6111</v>
      </c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</row>
    <row r="198" spans="1:114" s="3" customFormat="1" ht="8.65" customHeight="1" x14ac:dyDescent="0.15">
      <c r="A198" s="8" t="s">
        <v>236</v>
      </c>
      <c r="B198" s="8" t="s">
        <v>197</v>
      </c>
      <c r="C198" s="8" t="s">
        <v>48</v>
      </c>
      <c r="D198" s="8" t="s">
        <v>198</v>
      </c>
      <c r="E198" s="8" t="s">
        <v>247</v>
      </c>
      <c r="F198" s="18"/>
      <c r="G198" s="18"/>
      <c r="H198" s="18"/>
      <c r="I198" s="51">
        <v>500000</v>
      </c>
      <c r="J198" s="18"/>
      <c r="K198" s="18">
        <f t="shared" si="8"/>
        <v>500000</v>
      </c>
      <c r="L198" s="160" t="s">
        <v>551</v>
      </c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</row>
    <row r="199" spans="1:114" s="120" customFormat="1" ht="10.15" customHeight="1" x14ac:dyDescent="0.15">
      <c r="A199" s="259" t="s">
        <v>262</v>
      </c>
      <c r="B199" s="259"/>
      <c r="C199" s="259"/>
      <c r="D199" s="259"/>
      <c r="E199" s="259"/>
      <c r="F199" s="259"/>
      <c r="G199" s="92"/>
      <c r="H199" s="93"/>
      <c r="I199" s="94">
        <f>SUM(I186:I198)</f>
        <v>160285054.67000002</v>
      </c>
      <c r="J199" s="94">
        <f>SUBTOTAL(9,J186:J198)</f>
        <v>140774042.23999998</v>
      </c>
      <c r="K199" s="94">
        <f>SUM(K186:K198)</f>
        <v>19511012.430000018</v>
      </c>
      <c r="L199" s="161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</row>
    <row r="200" spans="1:114" s="3" customFormat="1" ht="8.65" customHeight="1" x14ac:dyDescent="0.15">
      <c r="A200" s="8" t="s">
        <v>5</v>
      </c>
      <c r="B200" s="8" t="s">
        <v>211</v>
      </c>
      <c r="C200" s="8" t="s">
        <v>73</v>
      </c>
      <c r="D200" s="8" t="s">
        <v>212</v>
      </c>
      <c r="E200" s="8" t="s">
        <v>263</v>
      </c>
      <c r="F200" s="18" t="s">
        <v>264</v>
      </c>
      <c r="G200" s="18"/>
      <c r="H200" s="18"/>
      <c r="I200" s="51">
        <v>1500000</v>
      </c>
      <c r="J200" s="18">
        <f>948578.78+15255</f>
        <v>963833.78</v>
      </c>
      <c r="K200" s="18">
        <f t="shared" ref="K200:K213" si="9">+I200-J200</f>
        <v>536166.22</v>
      </c>
      <c r="L200" s="160" t="s">
        <v>537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</row>
    <row r="201" spans="1:114" s="3" customFormat="1" ht="8.65" customHeight="1" x14ac:dyDescent="0.15">
      <c r="A201" s="8" t="s">
        <v>5</v>
      </c>
      <c r="B201" s="8" t="s">
        <v>160</v>
      </c>
      <c r="C201" s="8" t="s">
        <v>101</v>
      </c>
      <c r="D201" s="8" t="s">
        <v>161</v>
      </c>
      <c r="E201" s="8" t="s">
        <v>263</v>
      </c>
      <c r="F201" s="18"/>
      <c r="G201" s="18"/>
      <c r="H201" s="18">
        <v>193160</v>
      </c>
      <c r="I201" s="51">
        <f>375000-H201</f>
        <v>181840</v>
      </c>
      <c r="J201" s="18">
        <f>121226.4+60613.2</f>
        <v>181839.59999999998</v>
      </c>
      <c r="K201" s="18">
        <f t="shared" si="9"/>
        <v>0.40000000002328306</v>
      </c>
      <c r="L201" s="160">
        <v>6135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</row>
    <row r="202" spans="1:114" s="3" customFormat="1" ht="8.65" customHeight="1" x14ac:dyDescent="0.15">
      <c r="A202" s="8" t="s">
        <v>5</v>
      </c>
      <c r="B202" s="8" t="s">
        <v>213</v>
      </c>
      <c r="C202" s="8" t="s">
        <v>214</v>
      </c>
      <c r="D202" s="8" t="s">
        <v>215</v>
      </c>
      <c r="E202" s="8" t="s">
        <v>263</v>
      </c>
      <c r="F202" s="18"/>
      <c r="G202" s="18"/>
      <c r="H202" s="18"/>
      <c r="I202" s="51">
        <v>4650000</v>
      </c>
      <c r="J202" s="18">
        <f>581859.6+2909298</f>
        <v>3491157.6</v>
      </c>
      <c r="K202" s="18">
        <f t="shared" si="9"/>
        <v>1158842.3999999999</v>
      </c>
      <c r="L202" s="160">
        <v>6055</v>
      </c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</row>
    <row r="203" spans="1:114" s="3" customFormat="1" ht="8.65" customHeight="1" x14ac:dyDescent="0.15">
      <c r="A203" s="8" t="s">
        <v>5</v>
      </c>
      <c r="B203" s="8" t="s">
        <v>218</v>
      </c>
      <c r="C203" s="8" t="s">
        <v>214</v>
      </c>
      <c r="D203" s="8" t="s">
        <v>219</v>
      </c>
      <c r="E203" s="8" t="s">
        <v>263</v>
      </c>
      <c r="F203" s="18"/>
      <c r="G203" s="18"/>
      <c r="H203" s="18"/>
      <c r="I203" s="51">
        <v>1000000</v>
      </c>
      <c r="J203" s="18">
        <f>565000+282500</f>
        <v>847500</v>
      </c>
      <c r="K203" s="18">
        <f t="shared" si="9"/>
        <v>152500</v>
      </c>
      <c r="L203" s="160">
        <v>6100</v>
      </c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</row>
    <row r="204" spans="1:114" s="3" customFormat="1" ht="8.65" customHeight="1" x14ac:dyDescent="0.15">
      <c r="A204" s="8" t="s">
        <v>5</v>
      </c>
      <c r="B204" s="8" t="s">
        <v>265</v>
      </c>
      <c r="C204" s="8" t="s">
        <v>214</v>
      </c>
      <c r="D204" s="8" t="s">
        <v>266</v>
      </c>
      <c r="E204" s="8" t="s">
        <v>263</v>
      </c>
      <c r="F204" s="18"/>
      <c r="G204" s="18"/>
      <c r="H204" s="18"/>
      <c r="I204" s="51">
        <v>700000</v>
      </c>
      <c r="J204" s="18"/>
      <c r="K204" s="18">
        <f t="shared" si="9"/>
        <v>700000</v>
      </c>
      <c r="L204" s="160" t="s">
        <v>551</v>
      </c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</row>
    <row r="205" spans="1:114" s="3" customFormat="1" ht="8.65" customHeight="1" x14ac:dyDescent="0.15">
      <c r="A205" s="8" t="s">
        <v>5</v>
      </c>
      <c r="B205" s="8" t="s">
        <v>267</v>
      </c>
      <c r="C205" s="8" t="s">
        <v>68</v>
      </c>
      <c r="D205" s="8" t="s">
        <v>268</v>
      </c>
      <c r="E205" s="8" t="s">
        <v>263</v>
      </c>
      <c r="F205" s="18"/>
      <c r="G205" s="18"/>
      <c r="H205" s="18"/>
      <c r="I205" s="51">
        <v>500000</v>
      </c>
      <c r="J205" s="18">
        <f>372900+124300</f>
        <v>497200</v>
      </c>
      <c r="K205" s="18">
        <f t="shared" si="9"/>
        <v>2800</v>
      </c>
      <c r="L205" s="160">
        <v>6115</v>
      </c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</row>
    <row r="206" spans="1:114" s="3" customFormat="1" ht="8.25" x14ac:dyDescent="0.15">
      <c r="A206" s="8" t="s">
        <v>5</v>
      </c>
      <c r="B206" s="8" t="s">
        <v>269</v>
      </c>
      <c r="C206" s="8" t="s">
        <v>68</v>
      </c>
      <c r="D206" s="8" t="s">
        <v>270</v>
      </c>
      <c r="E206" s="8" t="s">
        <v>263</v>
      </c>
      <c r="F206" s="18"/>
      <c r="G206" s="18">
        <v>731000</v>
      </c>
      <c r="H206" s="18"/>
      <c r="I206" s="51">
        <v>4231000</v>
      </c>
      <c r="J206" s="18">
        <f>730884+1803480</f>
        <v>2534364</v>
      </c>
      <c r="K206" s="18">
        <f t="shared" si="9"/>
        <v>1696636</v>
      </c>
      <c r="L206" s="67" t="s">
        <v>640</v>
      </c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</row>
    <row r="207" spans="1:114" s="3" customFormat="1" ht="8.65" customHeight="1" x14ac:dyDescent="0.15">
      <c r="A207" s="8" t="s">
        <v>5</v>
      </c>
      <c r="B207" s="8" t="s">
        <v>230</v>
      </c>
      <c r="C207" s="8" t="s">
        <v>231</v>
      </c>
      <c r="D207" s="8" t="s">
        <v>232</v>
      </c>
      <c r="E207" s="8" t="s">
        <v>263</v>
      </c>
      <c r="F207" s="18"/>
      <c r="G207" s="18"/>
      <c r="H207" s="18"/>
      <c r="I207" s="51">
        <v>200000</v>
      </c>
      <c r="J207" s="18"/>
      <c r="K207" s="18">
        <f t="shared" si="9"/>
        <v>200000</v>
      </c>
      <c r="L207" s="160" t="s">
        <v>551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</row>
    <row r="208" spans="1:114" s="3" customFormat="1" ht="8.65" customHeight="1" x14ac:dyDescent="0.15">
      <c r="A208" s="8" t="s">
        <v>46</v>
      </c>
      <c r="B208" s="8" t="s">
        <v>271</v>
      </c>
      <c r="C208" s="8" t="s">
        <v>208</v>
      </c>
      <c r="D208" s="8" t="s">
        <v>272</v>
      </c>
      <c r="E208" s="8" t="s">
        <v>263</v>
      </c>
      <c r="F208" s="18"/>
      <c r="G208" s="18"/>
      <c r="H208" s="18"/>
      <c r="I208" s="51">
        <v>219000000</v>
      </c>
      <c r="J208" s="18">
        <v>218923796.72</v>
      </c>
      <c r="K208" s="18">
        <f t="shared" si="9"/>
        <v>76203.280000001192</v>
      </c>
      <c r="L208" s="160">
        <v>6017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</row>
    <row r="209" spans="1:114" s="9" customFormat="1" ht="8.65" customHeight="1" x14ac:dyDescent="0.15">
      <c r="A209" s="8" t="s">
        <v>236</v>
      </c>
      <c r="B209" s="8" t="s">
        <v>251</v>
      </c>
      <c r="C209" s="8" t="s">
        <v>48</v>
      </c>
      <c r="D209" s="8" t="s">
        <v>252</v>
      </c>
      <c r="E209" s="8" t="s">
        <v>263</v>
      </c>
      <c r="F209" s="18"/>
      <c r="G209" s="18">
        <v>711711.7</v>
      </c>
      <c r="H209" s="18"/>
      <c r="I209" s="51">
        <f>9050000+G209</f>
        <v>9761711.6999999993</v>
      </c>
      <c r="J209" s="18">
        <f>750900.9+7509009+1501801.8</f>
        <v>9761711.7000000011</v>
      </c>
      <c r="K209" s="18">
        <f t="shared" si="9"/>
        <v>0</v>
      </c>
      <c r="L209" s="160" t="s">
        <v>494</v>
      </c>
    </row>
    <row r="210" spans="1:114" s="3" customFormat="1" ht="8.65" customHeight="1" x14ac:dyDescent="0.15">
      <c r="A210" s="8" t="s">
        <v>236</v>
      </c>
      <c r="B210" s="8" t="s">
        <v>190</v>
      </c>
      <c r="C210" s="8" t="s">
        <v>48</v>
      </c>
      <c r="D210" s="8" t="s">
        <v>204</v>
      </c>
      <c r="E210" s="8" t="s">
        <v>263</v>
      </c>
      <c r="F210" s="18"/>
      <c r="G210" s="18"/>
      <c r="H210" s="18"/>
      <c r="I210" s="51">
        <v>15000000</v>
      </c>
      <c r="J210" s="18">
        <f>857658.36+1117955.24+1924934.26</f>
        <v>3900547.8600000003</v>
      </c>
      <c r="K210" s="18">
        <f t="shared" si="9"/>
        <v>11099452.140000001</v>
      </c>
      <c r="L210" s="160">
        <v>6253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</row>
    <row r="211" spans="1:114" s="3" customFormat="1" ht="8.65" customHeight="1" x14ac:dyDescent="0.15">
      <c r="A211" s="8" t="s">
        <v>236</v>
      </c>
      <c r="B211" s="8" t="s">
        <v>253</v>
      </c>
      <c r="C211" s="8" t="s">
        <v>238</v>
      </c>
      <c r="D211" s="8" t="s">
        <v>273</v>
      </c>
      <c r="E211" s="8" t="s">
        <v>263</v>
      </c>
      <c r="F211" s="18"/>
      <c r="G211" s="18"/>
      <c r="H211" s="18">
        <v>146043.35</v>
      </c>
      <c r="I211" s="51">
        <v>4603956.6500000004</v>
      </c>
      <c r="J211" s="18">
        <v>3321670.76</v>
      </c>
      <c r="K211" s="18">
        <f t="shared" si="9"/>
        <v>1282285.8900000006</v>
      </c>
      <c r="L211" s="160" t="s">
        <v>495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</row>
    <row r="212" spans="1:114" s="3" customFormat="1" ht="8.65" customHeight="1" x14ac:dyDescent="0.15">
      <c r="A212" s="8" t="s">
        <v>236</v>
      </c>
      <c r="B212" s="8" t="s">
        <v>257</v>
      </c>
      <c r="C212" s="8" t="s">
        <v>48</v>
      </c>
      <c r="D212" s="8" t="s">
        <v>258</v>
      </c>
      <c r="E212" s="8" t="s">
        <v>263</v>
      </c>
      <c r="F212" s="18"/>
      <c r="G212" s="18">
        <v>70000000</v>
      </c>
      <c r="H212" s="18"/>
      <c r="I212" s="51">
        <f>98176000+G212</f>
        <v>168176000</v>
      </c>
      <c r="J212" s="18">
        <f>98175279.96+25329775.14</f>
        <v>123505055.09999999</v>
      </c>
      <c r="K212" s="18">
        <f t="shared" si="9"/>
        <v>44670944.900000006</v>
      </c>
      <c r="L212" s="160" t="s">
        <v>534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</row>
    <row r="213" spans="1:114" s="3" customFormat="1" ht="8.65" customHeight="1" x14ac:dyDescent="0.15">
      <c r="A213" s="8" t="s">
        <v>236</v>
      </c>
      <c r="B213" s="8" t="s">
        <v>274</v>
      </c>
      <c r="C213" s="8" t="s">
        <v>238</v>
      </c>
      <c r="D213" s="8" t="s">
        <v>275</v>
      </c>
      <c r="E213" s="8" t="s">
        <v>263</v>
      </c>
      <c r="F213" s="18"/>
      <c r="G213" s="18"/>
      <c r="H213" s="18"/>
      <c r="I213" s="51">
        <v>500000</v>
      </c>
      <c r="J213" s="18"/>
      <c r="K213" s="18">
        <f t="shared" si="9"/>
        <v>500000</v>
      </c>
      <c r="L213" s="160" t="s">
        <v>551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</row>
    <row r="214" spans="1:114" s="3" customFormat="1" ht="8.65" customHeight="1" x14ac:dyDescent="0.15">
      <c r="A214" s="8" t="s">
        <v>236</v>
      </c>
      <c r="B214" s="8" t="s">
        <v>14</v>
      </c>
      <c r="C214" s="8" t="s">
        <v>12</v>
      </c>
      <c r="D214" s="8" t="s">
        <v>15</v>
      </c>
      <c r="E214" s="8" t="s">
        <v>263</v>
      </c>
      <c r="F214" s="18"/>
      <c r="G214" s="18"/>
      <c r="H214" s="18"/>
      <c r="I214" s="51">
        <v>4700000</v>
      </c>
      <c r="J214" s="18"/>
      <c r="K214" s="18">
        <f t="shared" ref="K214:K215" si="10">+I214-J214</f>
        <v>4700000</v>
      </c>
      <c r="L214" s="160" t="s">
        <v>551</v>
      </c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</row>
    <row r="215" spans="1:114" s="3" customFormat="1" ht="8.65" customHeight="1" x14ac:dyDescent="0.15">
      <c r="A215" s="8" t="s">
        <v>236</v>
      </c>
      <c r="B215" s="8" t="s">
        <v>259</v>
      </c>
      <c r="C215" s="8" t="s">
        <v>12</v>
      </c>
      <c r="D215" s="8" t="s">
        <v>260</v>
      </c>
      <c r="E215" s="8" t="s">
        <v>263</v>
      </c>
      <c r="F215" s="18"/>
      <c r="G215" s="18"/>
      <c r="H215" s="18"/>
      <c r="I215" s="51">
        <v>4700000</v>
      </c>
      <c r="J215" s="18"/>
      <c r="K215" s="18">
        <f t="shared" si="10"/>
        <v>4700000</v>
      </c>
      <c r="L215" s="160" t="s">
        <v>551</v>
      </c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</row>
    <row r="216" spans="1:114" s="3" customFormat="1" ht="8.65" customHeight="1" x14ac:dyDescent="0.15">
      <c r="A216" s="8" t="s">
        <v>236</v>
      </c>
      <c r="B216" s="8" t="s">
        <v>242</v>
      </c>
      <c r="C216" s="8" t="s">
        <v>238</v>
      </c>
      <c r="D216" s="8" t="s">
        <v>276</v>
      </c>
      <c r="E216" s="8" t="s">
        <v>263</v>
      </c>
      <c r="F216" s="18"/>
      <c r="G216" s="18">
        <v>575522</v>
      </c>
      <c r="H216" s="18"/>
      <c r="I216" s="51">
        <f>800000+G216</f>
        <v>1375522</v>
      </c>
      <c r="J216" s="18">
        <v>1356000</v>
      </c>
      <c r="K216" s="18">
        <f>+I216-J216</f>
        <v>19522</v>
      </c>
      <c r="L216" s="160" t="s">
        <v>490</v>
      </c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</row>
    <row r="217" spans="1:114" s="3" customFormat="1" ht="8.65" customHeight="1" x14ac:dyDescent="0.15">
      <c r="A217" s="8" t="s">
        <v>236</v>
      </c>
      <c r="B217" s="8" t="s">
        <v>244</v>
      </c>
      <c r="C217" s="8" t="s">
        <v>238</v>
      </c>
      <c r="D217" s="8" t="s">
        <v>277</v>
      </c>
      <c r="E217" s="8" t="s">
        <v>263</v>
      </c>
      <c r="F217" s="18"/>
      <c r="G217" s="18"/>
      <c r="H217" s="18">
        <v>500000</v>
      </c>
      <c r="I217" s="51">
        <f>500000-H217</f>
        <v>0</v>
      </c>
      <c r="J217" s="18"/>
      <c r="K217" s="18"/>
      <c r="L217" s="160" t="s">
        <v>431</v>
      </c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</row>
    <row r="218" spans="1:114" s="3" customFormat="1" ht="8.65" customHeight="1" x14ac:dyDescent="0.15">
      <c r="A218" s="8" t="s">
        <v>236</v>
      </c>
      <c r="B218" s="8" t="s">
        <v>197</v>
      </c>
      <c r="C218" s="8" t="s">
        <v>48</v>
      </c>
      <c r="D218" s="8" t="s">
        <v>198</v>
      </c>
      <c r="E218" s="8" t="s">
        <v>263</v>
      </c>
      <c r="F218" s="18"/>
      <c r="G218" s="18"/>
      <c r="H218" s="18"/>
      <c r="I218" s="51">
        <v>2000000</v>
      </c>
      <c r="J218" s="18"/>
      <c r="K218" s="18">
        <f>+I218-J218</f>
        <v>2000000</v>
      </c>
      <c r="L218" s="160" t="s">
        <v>551</v>
      </c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</row>
    <row r="219" spans="1:114" s="120" customFormat="1" ht="10.15" customHeight="1" x14ac:dyDescent="0.15">
      <c r="A219" s="259" t="s">
        <v>278</v>
      </c>
      <c r="B219" s="259"/>
      <c r="C219" s="259"/>
      <c r="D219" s="259"/>
      <c r="E219" s="259"/>
      <c r="F219" s="259"/>
      <c r="G219" s="92"/>
      <c r="H219" s="93"/>
      <c r="I219" s="94">
        <f>SUM(I200:I218)</f>
        <v>442780030.35000002</v>
      </c>
      <c r="J219" s="94">
        <f>SUM(J200:J218)</f>
        <v>369284677.12</v>
      </c>
      <c r="K219" s="94">
        <f>SUM(K200:K218)</f>
        <v>73495353.230000004</v>
      </c>
      <c r="L219" s="161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</row>
    <row r="220" spans="1:114" s="3" customFormat="1" ht="8.65" customHeight="1" x14ac:dyDescent="0.15">
      <c r="A220" s="8" t="s">
        <v>5</v>
      </c>
      <c r="B220" s="8" t="s">
        <v>211</v>
      </c>
      <c r="C220" s="8" t="s">
        <v>73</v>
      </c>
      <c r="D220" s="8" t="s">
        <v>212</v>
      </c>
      <c r="E220" s="8" t="s">
        <v>279</v>
      </c>
      <c r="F220" s="18" t="s">
        <v>280</v>
      </c>
      <c r="G220" s="18">
        <v>100000</v>
      </c>
      <c r="H220" s="18"/>
      <c r="I220" s="51">
        <f>1300000+G220</f>
        <v>1400000</v>
      </c>
      <c r="J220" s="18">
        <f>1344381.33+24509.7</f>
        <v>1368891.03</v>
      </c>
      <c r="K220" s="18">
        <f>+I220-J220</f>
        <v>31108.969999999972</v>
      </c>
      <c r="L220" s="160" t="s">
        <v>536</v>
      </c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</row>
    <row r="221" spans="1:114" s="3" customFormat="1" ht="8.65" customHeight="1" x14ac:dyDescent="0.15">
      <c r="A221" s="8" t="s">
        <v>5</v>
      </c>
      <c r="B221" s="8" t="s">
        <v>211</v>
      </c>
      <c r="C221" s="8" t="s">
        <v>73</v>
      </c>
      <c r="D221" s="8" t="s">
        <v>426</v>
      </c>
      <c r="E221" s="8" t="s">
        <v>279</v>
      </c>
      <c r="F221" s="18"/>
      <c r="G221" s="18">
        <v>500000</v>
      </c>
      <c r="H221" s="18"/>
      <c r="I221" s="51">
        <v>500000</v>
      </c>
      <c r="J221" s="18">
        <v>395500</v>
      </c>
      <c r="K221" s="18">
        <f>+I221-J221</f>
        <v>104500</v>
      </c>
      <c r="L221" s="160" t="s">
        <v>499</v>
      </c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</row>
    <row r="222" spans="1:114" s="3" customFormat="1" ht="8.65" customHeight="1" x14ac:dyDescent="0.15">
      <c r="A222" s="8" t="s">
        <v>5</v>
      </c>
      <c r="B222" s="8" t="s">
        <v>160</v>
      </c>
      <c r="C222" s="8" t="s">
        <v>101</v>
      </c>
      <c r="D222" s="8" t="s">
        <v>161</v>
      </c>
      <c r="E222" s="8" t="s">
        <v>279</v>
      </c>
      <c r="F222" s="18"/>
      <c r="G222" s="18"/>
      <c r="H222" s="18">
        <v>93585.4</v>
      </c>
      <c r="I222" s="51">
        <v>156415</v>
      </c>
      <c r="J222" s="18">
        <f>104276.4+52138.2</f>
        <v>156414.59999999998</v>
      </c>
      <c r="K222" s="18">
        <f>+I222-J222</f>
        <v>0.40000000002328306</v>
      </c>
      <c r="L222" s="160">
        <v>6135</v>
      </c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</row>
    <row r="223" spans="1:114" s="3" customFormat="1" ht="8.65" customHeight="1" x14ac:dyDescent="0.15">
      <c r="A223" s="8" t="s">
        <v>5</v>
      </c>
      <c r="B223" s="8" t="s">
        <v>218</v>
      </c>
      <c r="C223" s="8" t="s">
        <v>214</v>
      </c>
      <c r="D223" s="8" t="s">
        <v>219</v>
      </c>
      <c r="E223" s="8" t="s">
        <v>279</v>
      </c>
      <c r="F223" s="18"/>
      <c r="G223" s="18"/>
      <c r="H223" s="18"/>
      <c r="I223" s="51">
        <v>650000</v>
      </c>
      <c r="J223" s="18">
        <f>88516.66*3</f>
        <v>265549.98</v>
      </c>
      <c r="K223" s="18">
        <f>+I223-J223</f>
        <v>384450.02</v>
      </c>
      <c r="L223" s="160">
        <v>6100</v>
      </c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</row>
    <row r="224" spans="1:114" s="3" customFormat="1" ht="8.65" customHeight="1" x14ac:dyDescent="0.15">
      <c r="A224" s="8" t="s">
        <v>5</v>
      </c>
      <c r="B224" s="8" t="s">
        <v>249</v>
      </c>
      <c r="C224" s="8" t="s">
        <v>68</v>
      </c>
      <c r="D224" s="8" t="s">
        <v>250</v>
      </c>
      <c r="E224" s="8" t="s">
        <v>279</v>
      </c>
      <c r="F224" s="18"/>
      <c r="G224" s="18"/>
      <c r="H224" s="18"/>
      <c r="I224" s="51">
        <v>150000</v>
      </c>
      <c r="J224" s="18"/>
      <c r="K224" s="18">
        <f>+I224-J224</f>
        <v>150000</v>
      </c>
      <c r="L224" s="160" t="s">
        <v>551</v>
      </c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</row>
    <row r="225" spans="1:114" s="3" customFormat="1" ht="8.65" customHeight="1" x14ac:dyDescent="0.15">
      <c r="A225" s="8" t="s">
        <v>5</v>
      </c>
      <c r="B225" s="8" t="s">
        <v>224</v>
      </c>
      <c r="C225" s="8" t="s">
        <v>7</v>
      </c>
      <c r="D225" s="8" t="s">
        <v>225</v>
      </c>
      <c r="E225" s="8" t="s">
        <v>279</v>
      </c>
      <c r="F225" s="18"/>
      <c r="G225" s="18"/>
      <c r="H225" s="18">
        <v>500000</v>
      </c>
      <c r="I225" s="51">
        <f>500000-H225</f>
        <v>0</v>
      </c>
      <c r="J225" s="18"/>
      <c r="K225" s="18"/>
      <c r="L225" s="160" t="s">
        <v>551</v>
      </c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</row>
    <row r="226" spans="1:114" s="3" customFormat="1" ht="8.65" customHeight="1" x14ac:dyDescent="0.15">
      <c r="A226" s="8" t="s">
        <v>5</v>
      </c>
      <c r="B226" s="8" t="s">
        <v>265</v>
      </c>
      <c r="C226" s="8" t="s">
        <v>214</v>
      </c>
      <c r="D226" s="8" t="s">
        <v>266</v>
      </c>
      <c r="E226" s="8" t="s">
        <v>279</v>
      </c>
      <c r="F226" s="18"/>
      <c r="G226" s="18"/>
      <c r="H226" s="18"/>
      <c r="I226" s="51">
        <v>600000</v>
      </c>
      <c r="J226" s="18"/>
      <c r="K226" s="18">
        <f>+I226-J226</f>
        <v>600000</v>
      </c>
      <c r="L226" s="160" t="s">
        <v>551</v>
      </c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</row>
    <row r="227" spans="1:114" s="9" customFormat="1" ht="8.65" customHeight="1" x14ac:dyDescent="0.15">
      <c r="A227" s="8" t="s">
        <v>236</v>
      </c>
      <c r="B227" s="8" t="s">
        <v>251</v>
      </c>
      <c r="C227" s="8" t="s">
        <v>48</v>
      </c>
      <c r="D227" s="8" t="s">
        <v>252</v>
      </c>
      <c r="E227" s="8" t="s">
        <v>279</v>
      </c>
      <c r="F227" s="18"/>
      <c r="G227" s="18">
        <v>143296.85999999999</v>
      </c>
      <c r="H227" s="18"/>
      <c r="I227" s="51">
        <f>1750000+G227</f>
        <v>1893296.8599999999</v>
      </c>
      <c r="J227" s="18">
        <f>145638.22+291276.44+1456382.2</f>
        <v>1893296.8599999999</v>
      </c>
      <c r="K227" s="18">
        <f>+I227-J227</f>
        <v>0</v>
      </c>
      <c r="L227" s="160" t="s">
        <v>419</v>
      </c>
    </row>
    <row r="228" spans="1:114" s="3" customFormat="1" ht="8.65" customHeight="1" x14ac:dyDescent="0.15">
      <c r="A228" s="8" t="s">
        <v>236</v>
      </c>
      <c r="B228" s="8" t="s">
        <v>190</v>
      </c>
      <c r="C228" s="8" t="s">
        <v>48</v>
      </c>
      <c r="D228" s="8" t="s">
        <v>204</v>
      </c>
      <c r="E228" s="8" t="s">
        <v>279</v>
      </c>
      <c r="F228" s="18"/>
      <c r="G228" s="18"/>
      <c r="H228" s="18"/>
      <c r="I228" s="51">
        <v>4000000</v>
      </c>
      <c r="J228" s="18">
        <f>691520.4+149143.71+31077.51+111605.35+6312.84+23772.21+30126.64</f>
        <v>1043558.6599999999</v>
      </c>
      <c r="K228" s="18">
        <f>+I228-J228</f>
        <v>2956441.34</v>
      </c>
      <c r="L228" s="160" t="s">
        <v>545</v>
      </c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</row>
    <row r="229" spans="1:114" s="9" customFormat="1" ht="8.65" customHeight="1" x14ac:dyDescent="0.15">
      <c r="A229" s="8" t="s">
        <v>236</v>
      </c>
      <c r="B229" s="8" t="s">
        <v>257</v>
      </c>
      <c r="C229" s="8" t="s">
        <v>48</v>
      </c>
      <c r="D229" s="8" t="s">
        <v>258</v>
      </c>
      <c r="E229" s="8" t="s">
        <v>279</v>
      </c>
      <c r="F229" s="18"/>
      <c r="G229" s="18"/>
      <c r="H229" s="18"/>
      <c r="I229" s="51">
        <v>25350000</v>
      </c>
      <c r="J229" s="18">
        <f>614891.62+4727393.4+2208194.66+470350.66+1292262.92+596077.78+922337.43+4727393.4+3312291.99+705525.99+1938394.38+894116.67</f>
        <v>22409230.899999999</v>
      </c>
      <c r="K229" s="18">
        <f>+I229-J229</f>
        <v>2940769.1000000015</v>
      </c>
      <c r="L229" s="160">
        <v>6072</v>
      </c>
    </row>
    <row r="230" spans="1:114" s="120" customFormat="1" ht="12" customHeight="1" x14ac:dyDescent="0.15">
      <c r="A230" s="259" t="s">
        <v>281</v>
      </c>
      <c r="B230" s="259"/>
      <c r="C230" s="259"/>
      <c r="D230" s="259"/>
      <c r="E230" s="259"/>
      <c r="F230" s="259"/>
      <c r="G230" s="92"/>
      <c r="H230" s="93"/>
      <c r="I230" s="94">
        <f>SUM(I220:I229)</f>
        <v>34699711.859999999</v>
      </c>
      <c r="J230" s="94">
        <f>SUBTOTAL(9,J220:J229)</f>
        <v>27532442.029999997</v>
      </c>
      <c r="K230" s="94">
        <f>SUM(K220:K229)</f>
        <v>7167269.8300000019</v>
      </c>
      <c r="L230" s="161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</row>
    <row r="231" spans="1:114" s="3" customFormat="1" ht="8.65" customHeight="1" x14ac:dyDescent="0.15">
      <c r="A231" s="8" t="s">
        <v>5</v>
      </c>
      <c r="B231" s="8" t="s">
        <v>211</v>
      </c>
      <c r="C231" s="8" t="s">
        <v>73</v>
      </c>
      <c r="D231" s="8" t="s">
        <v>212</v>
      </c>
      <c r="E231" s="8" t="s">
        <v>282</v>
      </c>
      <c r="F231" s="18" t="s">
        <v>283</v>
      </c>
      <c r="G231" s="18"/>
      <c r="H231" s="18"/>
      <c r="I231" s="51">
        <v>1000000</v>
      </c>
      <c r="J231" s="18">
        <f>528591.51+17797.5</f>
        <v>546389.01</v>
      </c>
      <c r="K231" s="18">
        <f>+I231-J231</f>
        <v>453610.99</v>
      </c>
      <c r="L231" s="160" t="s">
        <v>395</v>
      </c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</row>
    <row r="232" spans="1:114" s="3" customFormat="1" ht="8.65" customHeight="1" x14ac:dyDescent="0.15">
      <c r="A232" s="8" t="s">
        <v>5</v>
      </c>
      <c r="B232" s="8" t="s">
        <v>160</v>
      </c>
      <c r="C232" s="8" t="s">
        <v>101</v>
      </c>
      <c r="D232" s="8" t="s">
        <v>161</v>
      </c>
      <c r="E232" s="8" t="s">
        <v>282</v>
      </c>
      <c r="F232" s="18"/>
      <c r="G232" s="18"/>
      <c r="H232" s="18">
        <v>176210</v>
      </c>
      <c r="I232" s="51">
        <f>375000-H232</f>
        <v>198790</v>
      </c>
      <c r="J232" s="18">
        <f>132526.4+66263.2</f>
        <v>198789.59999999998</v>
      </c>
      <c r="K232" s="18">
        <f>+I232-J232</f>
        <v>0.40000000002328306</v>
      </c>
      <c r="L232" s="160">
        <v>6135</v>
      </c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</row>
    <row r="233" spans="1:114" s="3" customFormat="1" ht="8.65" customHeight="1" x14ac:dyDescent="0.15">
      <c r="A233" s="8" t="s">
        <v>5</v>
      </c>
      <c r="B233" s="8" t="s">
        <v>249</v>
      </c>
      <c r="C233" s="8" t="s">
        <v>68</v>
      </c>
      <c r="D233" s="8" t="s">
        <v>250</v>
      </c>
      <c r="E233" s="8" t="s">
        <v>282</v>
      </c>
      <c r="F233" s="18"/>
      <c r="G233" s="18"/>
      <c r="H233" s="18"/>
      <c r="I233" s="51">
        <v>300000</v>
      </c>
      <c r="J233" s="18"/>
      <c r="K233" s="18">
        <f>+I233-J233</f>
        <v>300000</v>
      </c>
      <c r="L233" s="160" t="s">
        <v>551</v>
      </c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</row>
    <row r="234" spans="1:114" s="3" customFormat="1" ht="8.65" customHeight="1" x14ac:dyDescent="0.15">
      <c r="A234" s="8" t="s">
        <v>5</v>
      </c>
      <c r="B234" s="8" t="s">
        <v>140</v>
      </c>
      <c r="C234" s="8" t="s">
        <v>68</v>
      </c>
      <c r="D234" s="8" t="s">
        <v>162</v>
      </c>
      <c r="E234" s="8" t="s">
        <v>282</v>
      </c>
      <c r="F234" s="18"/>
      <c r="G234" s="18"/>
      <c r="H234" s="18">
        <v>100000</v>
      </c>
      <c r="I234" s="51">
        <f>100000-H234</f>
        <v>0</v>
      </c>
      <c r="J234" s="18"/>
      <c r="K234" s="18"/>
      <c r="L234" s="160" t="s">
        <v>417</v>
      </c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</row>
    <row r="235" spans="1:114" s="3" customFormat="1" ht="8.65" customHeight="1" x14ac:dyDescent="0.15">
      <c r="A235" s="8" t="s">
        <v>5</v>
      </c>
      <c r="B235" s="8" t="s">
        <v>284</v>
      </c>
      <c r="C235" s="8" t="s">
        <v>68</v>
      </c>
      <c r="D235" s="8" t="s">
        <v>285</v>
      </c>
      <c r="E235" s="8" t="s">
        <v>282</v>
      </c>
      <c r="F235" s="18"/>
      <c r="G235" s="18"/>
      <c r="H235" s="18"/>
      <c r="I235" s="51">
        <v>6000000</v>
      </c>
      <c r="J235" s="18">
        <v>5955100</v>
      </c>
      <c r="K235" s="18">
        <f t="shared" ref="K235:K241" si="11">+I235-J235</f>
        <v>44900</v>
      </c>
      <c r="L235" s="160">
        <v>6005</v>
      </c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</row>
    <row r="236" spans="1:114" s="9" customFormat="1" ht="8.65" customHeight="1" x14ac:dyDescent="0.15">
      <c r="A236" s="8" t="s">
        <v>236</v>
      </c>
      <c r="B236" s="8" t="s">
        <v>251</v>
      </c>
      <c r="C236" s="8" t="s">
        <v>48</v>
      </c>
      <c r="D236" s="8" t="s">
        <v>252</v>
      </c>
      <c r="E236" s="8" t="s">
        <v>282</v>
      </c>
      <c r="F236" s="18"/>
      <c r="G236" s="18">
        <v>179025.01</v>
      </c>
      <c r="H236" s="18"/>
      <c r="I236" s="51">
        <f>2150000+G236</f>
        <v>2329025.0099999998</v>
      </c>
      <c r="J236" s="18">
        <f>179155.77+358311.54+1791557.7</f>
        <v>2329025.0099999998</v>
      </c>
      <c r="K236" s="18">
        <f t="shared" si="11"/>
        <v>0</v>
      </c>
      <c r="L236" s="160" t="s">
        <v>384</v>
      </c>
    </row>
    <row r="237" spans="1:114" s="3" customFormat="1" ht="8.65" customHeight="1" x14ac:dyDescent="0.15">
      <c r="A237" s="8" t="s">
        <v>236</v>
      </c>
      <c r="B237" s="8" t="s">
        <v>190</v>
      </c>
      <c r="C237" s="8" t="s">
        <v>48</v>
      </c>
      <c r="D237" s="8" t="s">
        <v>204</v>
      </c>
      <c r="E237" s="8" t="s">
        <v>282</v>
      </c>
      <c r="F237" s="18"/>
      <c r="G237" s="18"/>
      <c r="H237" s="18"/>
      <c r="I237" s="51">
        <v>2000000</v>
      </c>
      <c r="J237" s="18">
        <f>251615.8+281042.2+377953.88+558978.78</f>
        <v>1469590.6600000001</v>
      </c>
      <c r="K237" s="18">
        <f t="shared" si="11"/>
        <v>530409.33999999985</v>
      </c>
      <c r="L237" s="160" t="s">
        <v>544</v>
      </c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</row>
    <row r="238" spans="1:114" s="3" customFormat="1" ht="8.65" customHeight="1" x14ac:dyDescent="0.15">
      <c r="A238" s="8" t="s">
        <v>236</v>
      </c>
      <c r="B238" s="8" t="s">
        <v>253</v>
      </c>
      <c r="C238" s="8" t="s">
        <v>238</v>
      </c>
      <c r="D238" s="8" t="s">
        <v>254</v>
      </c>
      <c r="E238" s="8" t="s">
        <v>282</v>
      </c>
      <c r="F238" s="18"/>
      <c r="G238" s="18"/>
      <c r="H238" s="18">
        <v>71424</v>
      </c>
      <c r="I238" s="51">
        <v>2391576</v>
      </c>
      <c r="J238" s="18">
        <v>2032838.36</v>
      </c>
      <c r="K238" s="18">
        <f t="shared" si="11"/>
        <v>358737.6399999999</v>
      </c>
      <c r="L238" s="160" t="s">
        <v>540</v>
      </c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</row>
    <row r="239" spans="1:114" s="3" customFormat="1" ht="8.65" customHeight="1" x14ac:dyDescent="0.15">
      <c r="A239" s="8" t="s">
        <v>236</v>
      </c>
      <c r="B239" s="8" t="s">
        <v>257</v>
      </c>
      <c r="C239" s="8" t="s">
        <v>48</v>
      </c>
      <c r="D239" s="8" t="s">
        <v>258</v>
      </c>
      <c r="E239" s="8" t="s">
        <v>282</v>
      </c>
      <c r="F239" s="18"/>
      <c r="G239" s="18"/>
      <c r="H239" s="18"/>
      <c r="I239" s="51">
        <v>43120000</v>
      </c>
      <c r="J239" s="18">
        <f>20651524.38+20651524.38</f>
        <v>41303048.759999998</v>
      </c>
      <c r="K239" s="18">
        <f t="shared" si="11"/>
        <v>1816951.2400000021</v>
      </c>
      <c r="L239" s="160">
        <v>6072</v>
      </c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</row>
    <row r="240" spans="1:114" s="3" customFormat="1" ht="8.65" customHeight="1" x14ac:dyDescent="0.15">
      <c r="A240" s="8" t="s">
        <v>236</v>
      </c>
      <c r="B240" s="8" t="s">
        <v>228</v>
      </c>
      <c r="C240" s="8" t="s">
        <v>48</v>
      </c>
      <c r="D240" s="8" t="s">
        <v>261</v>
      </c>
      <c r="E240" s="8" t="s">
        <v>282</v>
      </c>
      <c r="F240" s="18"/>
      <c r="G240" s="18"/>
      <c r="H240" s="18"/>
      <c r="I240" s="51">
        <v>500000</v>
      </c>
      <c r="J240" s="18"/>
      <c r="K240" s="18">
        <f t="shared" si="11"/>
        <v>500000</v>
      </c>
      <c r="L240" s="160" t="s">
        <v>551</v>
      </c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</row>
    <row r="241" spans="1:114" s="3" customFormat="1" ht="8.65" customHeight="1" x14ac:dyDescent="0.15">
      <c r="A241" s="8" t="s">
        <v>236</v>
      </c>
      <c r="B241" s="8" t="s">
        <v>197</v>
      </c>
      <c r="C241" s="8" t="s">
        <v>48</v>
      </c>
      <c r="D241" s="8" t="s">
        <v>198</v>
      </c>
      <c r="E241" s="8" t="s">
        <v>282</v>
      </c>
      <c r="F241" s="18"/>
      <c r="G241" s="18"/>
      <c r="H241" s="18"/>
      <c r="I241" s="51">
        <v>500000</v>
      </c>
      <c r="J241" s="18"/>
      <c r="K241" s="18">
        <f t="shared" si="11"/>
        <v>500000</v>
      </c>
      <c r="L241" s="160" t="s">
        <v>551</v>
      </c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</row>
    <row r="242" spans="1:114" s="120" customFormat="1" ht="10.15" customHeight="1" x14ac:dyDescent="0.15">
      <c r="A242" s="259" t="s">
        <v>286</v>
      </c>
      <c r="B242" s="259"/>
      <c r="C242" s="259"/>
      <c r="D242" s="259"/>
      <c r="E242" s="259"/>
      <c r="F242" s="259"/>
      <c r="G242" s="92"/>
      <c r="H242" s="93"/>
      <c r="I242" s="94">
        <f>SUM(I231:I241)</f>
        <v>58339391.009999998</v>
      </c>
      <c r="J242" s="94">
        <f>SUBTOTAL(9,J231:J241)</f>
        <v>53834781.399999999</v>
      </c>
      <c r="K242" s="94">
        <f>SUM(K231:K241)</f>
        <v>4504609.6100000022</v>
      </c>
      <c r="L242" s="161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</row>
    <row r="243" spans="1:114" s="3" customFormat="1" ht="8.65" customHeight="1" x14ac:dyDescent="0.15">
      <c r="A243" s="8" t="s">
        <v>5</v>
      </c>
      <c r="B243" s="8" t="s">
        <v>211</v>
      </c>
      <c r="C243" s="8" t="s">
        <v>73</v>
      </c>
      <c r="D243" s="8" t="s">
        <v>212</v>
      </c>
      <c r="E243" s="8" t="s">
        <v>287</v>
      </c>
      <c r="F243" s="18" t="s">
        <v>288</v>
      </c>
      <c r="G243" s="18"/>
      <c r="H243" s="18"/>
      <c r="I243" s="51">
        <v>2000000</v>
      </c>
      <c r="J243" s="18">
        <f>1211674.72+10322.55</f>
        <v>1221997.27</v>
      </c>
      <c r="K243" s="18">
        <f>+I243-J243</f>
        <v>778002.73</v>
      </c>
      <c r="L243" s="160" t="s">
        <v>538</v>
      </c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</row>
    <row r="244" spans="1:114" s="3" customFormat="1" ht="8.65" customHeight="1" x14ac:dyDescent="0.15">
      <c r="A244" s="8" t="s">
        <v>5</v>
      </c>
      <c r="B244" s="8" t="s">
        <v>207</v>
      </c>
      <c r="C244" s="8" t="s">
        <v>208</v>
      </c>
      <c r="D244" s="8" t="s">
        <v>209</v>
      </c>
      <c r="E244" s="8" t="s">
        <v>392</v>
      </c>
      <c r="F244" s="18"/>
      <c r="G244" s="18">
        <v>16826039</v>
      </c>
      <c r="H244" s="18"/>
      <c r="I244" s="51">
        <f>+G244</f>
        <v>16826039</v>
      </c>
      <c r="J244" s="18">
        <v>16826039</v>
      </c>
      <c r="K244" s="18">
        <f>+J244-G244</f>
        <v>0</v>
      </c>
      <c r="L244" s="160" t="s">
        <v>414</v>
      </c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</row>
    <row r="245" spans="1:114" s="3" customFormat="1" ht="8.65" customHeight="1" x14ac:dyDescent="0.15">
      <c r="A245" s="8" t="s">
        <v>5</v>
      </c>
      <c r="B245" s="8" t="s">
        <v>160</v>
      </c>
      <c r="C245" s="8" t="s">
        <v>101</v>
      </c>
      <c r="D245" s="8" t="s">
        <v>161</v>
      </c>
      <c r="E245" s="8" t="s">
        <v>287</v>
      </c>
      <c r="F245" s="18"/>
      <c r="G245" s="18"/>
      <c r="H245" s="18">
        <v>102060</v>
      </c>
      <c r="I245" s="51">
        <f>250000-H245</f>
        <v>147940</v>
      </c>
      <c r="J245" s="18">
        <f>98626.4+49313.2</f>
        <v>147939.59999999998</v>
      </c>
      <c r="K245" s="18">
        <f>+I245-J245</f>
        <v>0.40000000002328306</v>
      </c>
      <c r="L245" s="160">
        <v>6135</v>
      </c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</row>
    <row r="246" spans="1:114" s="3" customFormat="1" ht="8.65" customHeight="1" x14ac:dyDescent="0.15">
      <c r="A246" s="8" t="s">
        <v>5</v>
      </c>
      <c r="B246" s="8" t="s">
        <v>213</v>
      </c>
      <c r="C246" s="8" t="s">
        <v>214</v>
      </c>
      <c r="D246" s="8" t="s">
        <v>215</v>
      </c>
      <c r="E246" s="8" t="s">
        <v>287</v>
      </c>
      <c r="F246" s="18"/>
      <c r="G246" s="18"/>
      <c r="H246" s="18"/>
      <c r="I246" s="51">
        <v>4600000</v>
      </c>
      <c r="J246" s="18">
        <f>332694.6+332694.6+1663473+1663473</f>
        <v>3992335.2</v>
      </c>
      <c r="K246" s="18">
        <f>+I246-J246</f>
        <v>607664.79999999981</v>
      </c>
      <c r="L246" s="160">
        <v>6055</v>
      </c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</row>
    <row r="247" spans="1:114" s="3" customFormat="1" ht="8.65" customHeight="1" x14ac:dyDescent="0.15">
      <c r="A247" s="8" t="s">
        <v>5</v>
      </c>
      <c r="B247" s="8" t="s">
        <v>218</v>
      </c>
      <c r="C247" s="8" t="s">
        <v>214</v>
      </c>
      <c r="D247" s="8" t="s">
        <v>219</v>
      </c>
      <c r="E247" s="8" t="s">
        <v>287</v>
      </c>
      <c r="F247" s="18"/>
      <c r="G247" s="18"/>
      <c r="H247" s="18"/>
      <c r="I247" s="51">
        <v>500000</v>
      </c>
      <c r="J247" s="18">
        <f>99816.29*3</f>
        <v>299448.87</v>
      </c>
      <c r="K247" s="18">
        <f>+I247-J247</f>
        <v>200551.13</v>
      </c>
      <c r="L247" s="160">
        <v>6100</v>
      </c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</row>
    <row r="248" spans="1:114" s="3" customFormat="1" ht="8.65" customHeight="1" x14ac:dyDescent="0.15">
      <c r="A248" s="8" t="s">
        <v>5</v>
      </c>
      <c r="B248" s="8" t="s">
        <v>249</v>
      </c>
      <c r="C248" s="8" t="s">
        <v>68</v>
      </c>
      <c r="D248" s="8" t="s">
        <v>250</v>
      </c>
      <c r="E248" s="8" t="s">
        <v>287</v>
      </c>
      <c r="F248" s="18"/>
      <c r="G248" s="18"/>
      <c r="H248" s="18"/>
      <c r="I248" s="51">
        <v>450000</v>
      </c>
      <c r="J248" s="18"/>
      <c r="K248" s="18">
        <f>+I248-J248</f>
        <v>450000</v>
      </c>
      <c r="L248" s="160" t="s">
        <v>551</v>
      </c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</row>
    <row r="249" spans="1:114" s="3" customFormat="1" ht="8.65" customHeight="1" x14ac:dyDescent="0.15">
      <c r="A249" s="8" t="s">
        <v>5</v>
      </c>
      <c r="B249" s="8" t="s">
        <v>140</v>
      </c>
      <c r="C249" s="8" t="s">
        <v>68</v>
      </c>
      <c r="D249" s="8" t="s">
        <v>162</v>
      </c>
      <c r="E249" s="8" t="s">
        <v>287</v>
      </c>
      <c r="F249" s="18"/>
      <c r="G249" s="18"/>
      <c r="H249" s="18">
        <v>150000</v>
      </c>
      <c r="I249" s="51">
        <f>150000-H249</f>
        <v>0</v>
      </c>
      <c r="J249" s="18"/>
      <c r="K249" s="18"/>
      <c r="L249" s="160" t="s">
        <v>417</v>
      </c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</row>
    <row r="250" spans="1:114" s="3" customFormat="1" ht="8.65" customHeight="1" x14ac:dyDescent="0.15">
      <c r="A250" s="8" t="s">
        <v>5</v>
      </c>
      <c r="B250" s="8" t="s">
        <v>265</v>
      </c>
      <c r="C250" s="8" t="s">
        <v>214</v>
      </c>
      <c r="D250" s="8" t="s">
        <v>266</v>
      </c>
      <c r="E250" s="8" t="s">
        <v>287</v>
      </c>
      <c r="F250" s="18"/>
      <c r="G250" s="18"/>
      <c r="H250" s="18"/>
      <c r="I250" s="51">
        <v>600000</v>
      </c>
      <c r="J250" s="18"/>
      <c r="K250" s="18">
        <f t="shared" ref="K250:K259" si="12">+I250-J250</f>
        <v>600000</v>
      </c>
      <c r="L250" s="160" t="s">
        <v>551</v>
      </c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</row>
    <row r="251" spans="1:114" s="3" customFormat="1" ht="8.65" customHeight="1" x14ac:dyDescent="0.15">
      <c r="A251" s="8" t="s">
        <v>5</v>
      </c>
      <c r="B251" s="8" t="s">
        <v>267</v>
      </c>
      <c r="C251" s="8" t="s">
        <v>68</v>
      </c>
      <c r="D251" s="8" t="s">
        <v>268</v>
      </c>
      <c r="E251" s="8" t="s">
        <v>287</v>
      </c>
      <c r="F251" s="18"/>
      <c r="G251" s="18"/>
      <c r="H251" s="18"/>
      <c r="I251" s="51">
        <v>1200000</v>
      </c>
      <c r="J251" s="18">
        <f>610200+203400</f>
        <v>813600</v>
      </c>
      <c r="K251" s="18">
        <f t="shared" si="12"/>
        <v>386400</v>
      </c>
      <c r="L251" s="160">
        <v>6115</v>
      </c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</row>
    <row r="252" spans="1:114" s="3" customFormat="1" ht="8.25" x14ac:dyDescent="0.15">
      <c r="A252" s="8" t="s">
        <v>5</v>
      </c>
      <c r="B252" s="8" t="s">
        <v>269</v>
      </c>
      <c r="C252" s="8" t="s">
        <v>68</v>
      </c>
      <c r="D252" s="8" t="s">
        <v>270</v>
      </c>
      <c r="E252" s="8" t="s">
        <v>287</v>
      </c>
      <c r="F252" s="18"/>
      <c r="G252" s="18"/>
      <c r="H252" s="18">
        <v>731000</v>
      </c>
      <c r="I252" s="51">
        <v>11519000</v>
      </c>
      <c r="J252" s="18">
        <f>431886+1063104</f>
        <v>1494990</v>
      </c>
      <c r="K252" s="18">
        <f t="shared" si="12"/>
        <v>10024010</v>
      </c>
      <c r="L252" s="67" t="s">
        <v>641</v>
      </c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</row>
    <row r="253" spans="1:114" s="3" customFormat="1" ht="8.65" customHeight="1" x14ac:dyDescent="0.15">
      <c r="A253" s="8" t="s">
        <v>5</v>
      </c>
      <c r="B253" s="8" t="s">
        <v>284</v>
      </c>
      <c r="C253" s="8" t="s">
        <v>68</v>
      </c>
      <c r="D253" s="8" t="s">
        <v>285</v>
      </c>
      <c r="E253" s="8" t="s">
        <v>287</v>
      </c>
      <c r="F253" s="18"/>
      <c r="G253" s="18"/>
      <c r="H253" s="18">
        <v>250000</v>
      </c>
      <c r="I253" s="51">
        <f>450000-H253</f>
        <v>200000</v>
      </c>
      <c r="J253" s="18"/>
      <c r="K253" s="18">
        <f t="shared" si="12"/>
        <v>200000</v>
      </c>
      <c r="L253" s="160" t="s">
        <v>417</v>
      </c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</row>
    <row r="254" spans="1:114" s="9" customFormat="1" ht="8.65" customHeight="1" x14ac:dyDescent="0.15">
      <c r="A254" s="8" t="s">
        <v>236</v>
      </c>
      <c r="B254" s="8" t="s">
        <v>251</v>
      </c>
      <c r="C254" s="8" t="s">
        <v>48</v>
      </c>
      <c r="D254" s="8" t="s">
        <v>252</v>
      </c>
      <c r="E254" s="8" t="s">
        <v>287</v>
      </c>
      <c r="F254" s="18"/>
      <c r="G254" s="18">
        <v>128119.76</v>
      </c>
      <c r="H254" s="18"/>
      <c r="I254" s="51">
        <f>2000000+G254</f>
        <v>2128119.7599999998</v>
      </c>
      <c r="J254" s="18">
        <f>163701.52+327403.04+1637015.2</f>
        <v>2128119.7599999998</v>
      </c>
      <c r="K254" s="18">
        <f t="shared" si="12"/>
        <v>0</v>
      </c>
      <c r="L254" s="160" t="s">
        <v>494</v>
      </c>
    </row>
    <row r="255" spans="1:114" s="3" customFormat="1" ht="8.65" customHeight="1" x14ac:dyDescent="0.15">
      <c r="A255" s="8" t="s">
        <v>236</v>
      </c>
      <c r="B255" s="8" t="s">
        <v>190</v>
      </c>
      <c r="C255" s="8" t="s">
        <v>48</v>
      </c>
      <c r="D255" s="8" t="s">
        <v>204</v>
      </c>
      <c r="E255" s="8" t="s">
        <v>287</v>
      </c>
      <c r="F255" s="18"/>
      <c r="G255" s="18"/>
      <c r="H255" s="18"/>
      <c r="I255" s="51">
        <v>3000000</v>
      </c>
      <c r="J255" s="18">
        <f>794123.1+442296.67+639271.93</f>
        <v>1875691.7000000002</v>
      </c>
      <c r="K255" s="18">
        <f t="shared" si="12"/>
        <v>1124308.2999999998</v>
      </c>
      <c r="L255" s="160" t="s">
        <v>546</v>
      </c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</row>
    <row r="256" spans="1:114" s="9" customFormat="1" ht="8.25" x14ac:dyDescent="0.15">
      <c r="A256" s="8" t="s">
        <v>236</v>
      </c>
      <c r="B256" s="8" t="s">
        <v>253</v>
      </c>
      <c r="C256" s="8" t="s">
        <v>238</v>
      </c>
      <c r="D256" s="8" t="s">
        <v>254</v>
      </c>
      <c r="E256" s="8" t="s">
        <v>287</v>
      </c>
      <c r="F256" s="18"/>
      <c r="G256" s="18"/>
      <c r="H256" s="18">
        <v>575522</v>
      </c>
      <c r="I256" s="51">
        <v>1917478</v>
      </c>
      <c r="J256" s="18">
        <v>1819110.16</v>
      </c>
      <c r="K256" s="18">
        <f t="shared" si="12"/>
        <v>98367.840000000084</v>
      </c>
      <c r="L256" s="67" t="s">
        <v>511</v>
      </c>
    </row>
    <row r="257" spans="1:114" s="9" customFormat="1" ht="8.65" customHeight="1" x14ac:dyDescent="0.15">
      <c r="A257" s="8" t="s">
        <v>236</v>
      </c>
      <c r="B257" s="8" t="s">
        <v>257</v>
      </c>
      <c r="C257" s="8" t="s">
        <v>48</v>
      </c>
      <c r="D257" s="8" t="s">
        <v>258</v>
      </c>
      <c r="E257" s="8" t="s">
        <v>287</v>
      </c>
      <c r="F257" s="18"/>
      <c r="G257" s="18"/>
      <c r="H257" s="18"/>
      <c r="I257" s="51">
        <v>29500000</v>
      </c>
      <c r="J257" s="18">
        <f>14019434.73+498084.94+14019434.73+747127.41</f>
        <v>29284081.809999999</v>
      </c>
      <c r="K257" s="18">
        <f t="shared" si="12"/>
        <v>215918.19000000134</v>
      </c>
      <c r="L257" s="160">
        <v>6072</v>
      </c>
    </row>
    <row r="258" spans="1:114" s="3" customFormat="1" ht="8.65" customHeight="1" x14ac:dyDescent="0.15">
      <c r="A258" s="8" t="s">
        <v>236</v>
      </c>
      <c r="B258" s="8" t="s">
        <v>242</v>
      </c>
      <c r="C258" s="8" t="s">
        <v>238</v>
      </c>
      <c r="D258" s="8" t="s">
        <v>276</v>
      </c>
      <c r="E258" s="8" t="s">
        <v>287</v>
      </c>
      <c r="F258" s="18"/>
      <c r="G258" s="18">
        <v>1000000</v>
      </c>
      <c r="H258" s="18"/>
      <c r="I258" s="51">
        <f>+G258</f>
        <v>1000000</v>
      </c>
      <c r="J258" s="18">
        <v>1000000</v>
      </c>
      <c r="K258" s="18">
        <f t="shared" si="12"/>
        <v>0</v>
      </c>
      <c r="L258" s="160" t="s">
        <v>496</v>
      </c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</row>
    <row r="259" spans="1:114" s="3" customFormat="1" ht="8.65" customHeight="1" x14ac:dyDescent="0.15">
      <c r="A259" s="8" t="s">
        <v>236</v>
      </c>
      <c r="B259" s="8" t="s">
        <v>228</v>
      </c>
      <c r="C259" s="8" t="s">
        <v>48</v>
      </c>
      <c r="D259" s="8" t="s">
        <v>261</v>
      </c>
      <c r="E259" s="8" t="s">
        <v>287</v>
      </c>
      <c r="F259" s="18"/>
      <c r="G259" s="18"/>
      <c r="H259" s="18"/>
      <c r="I259" s="51">
        <v>1000000</v>
      </c>
      <c r="J259" s="18"/>
      <c r="K259" s="18">
        <f t="shared" si="12"/>
        <v>1000000</v>
      </c>
      <c r="L259" s="160" t="s">
        <v>497</v>
      </c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</row>
    <row r="260" spans="1:114" s="3" customFormat="1" ht="8.65" customHeight="1" x14ac:dyDescent="0.15">
      <c r="A260" s="8" t="s">
        <v>236</v>
      </c>
      <c r="B260" s="8" t="s">
        <v>242</v>
      </c>
      <c r="C260" s="8" t="s">
        <v>238</v>
      </c>
      <c r="D260" s="8" t="s">
        <v>243</v>
      </c>
      <c r="E260" s="8" t="s">
        <v>287</v>
      </c>
      <c r="F260" s="18"/>
      <c r="G260" s="18"/>
      <c r="H260" s="18">
        <v>1000000</v>
      </c>
      <c r="I260" s="51">
        <f>1000000-H260</f>
        <v>0</v>
      </c>
      <c r="J260" s="18"/>
      <c r="K260" s="18"/>
      <c r="L260" s="160" t="s">
        <v>497</v>
      </c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</row>
    <row r="261" spans="1:114" s="120" customFormat="1" ht="10.15" customHeight="1" x14ac:dyDescent="0.15">
      <c r="A261" s="259" t="s">
        <v>289</v>
      </c>
      <c r="B261" s="259"/>
      <c r="C261" s="259"/>
      <c r="D261" s="259"/>
      <c r="E261" s="259"/>
      <c r="F261" s="259"/>
      <c r="G261" s="92"/>
      <c r="H261" s="93"/>
      <c r="I261" s="94">
        <f>SUM(I243:I260)</f>
        <v>76588576.75999999</v>
      </c>
      <c r="J261" s="94">
        <f>SUM(J243:J260)</f>
        <v>60903353.370000005</v>
      </c>
      <c r="K261" s="94">
        <f>SUM(K243:K260)</f>
        <v>15685223.390000001</v>
      </c>
      <c r="L261" s="161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</row>
    <row r="262" spans="1:114" s="3" customFormat="1" ht="8.65" customHeight="1" x14ac:dyDescent="0.15">
      <c r="A262" s="8" t="s">
        <v>5</v>
      </c>
      <c r="B262" s="8" t="s">
        <v>140</v>
      </c>
      <c r="C262" s="8" t="s">
        <v>68</v>
      </c>
      <c r="D262" s="8" t="s">
        <v>162</v>
      </c>
      <c r="E262" s="8" t="s">
        <v>290</v>
      </c>
      <c r="F262" s="18" t="s">
        <v>465</v>
      </c>
      <c r="G262" s="2"/>
      <c r="H262" s="2"/>
      <c r="I262" s="51">
        <v>1864000</v>
      </c>
      <c r="J262" s="2">
        <f>418100+70250</f>
        <v>488350</v>
      </c>
      <c r="K262" s="18">
        <f>+I262-J262</f>
        <v>1375650</v>
      </c>
      <c r="L262" s="160" t="s">
        <v>642</v>
      </c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</row>
    <row r="263" spans="1:114" s="3" customFormat="1" ht="8.65" customHeight="1" x14ac:dyDescent="0.15">
      <c r="A263" s="8" t="s">
        <v>5</v>
      </c>
      <c r="B263" s="8" t="s">
        <v>100</v>
      </c>
      <c r="C263" s="8" t="s">
        <v>101</v>
      </c>
      <c r="D263" s="8" t="s">
        <v>102</v>
      </c>
      <c r="E263" s="8" t="s">
        <v>290</v>
      </c>
      <c r="F263" s="18"/>
      <c r="G263" s="2"/>
      <c r="H263" s="2"/>
      <c r="I263" s="51">
        <v>0</v>
      </c>
      <c r="J263" s="2"/>
      <c r="K263" s="18"/>
      <c r="L263" s="160" t="s">
        <v>551</v>
      </c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</row>
    <row r="264" spans="1:114" s="3" customFormat="1" ht="8.65" customHeight="1" x14ac:dyDescent="0.15">
      <c r="A264" s="8" t="s">
        <v>5</v>
      </c>
      <c r="B264" s="98" t="s">
        <v>424</v>
      </c>
      <c r="C264" s="8" t="s">
        <v>92</v>
      </c>
      <c r="D264" s="8" t="s">
        <v>425</v>
      </c>
      <c r="E264" s="8" t="s">
        <v>290</v>
      </c>
      <c r="F264" s="18"/>
      <c r="G264" s="2"/>
      <c r="H264" s="2"/>
      <c r="I264" s="51">
        <v>5000000</v>
      </c>
      <c r="J264" s="2">
        <f>209916+758736</f>
        <v>968652</v>
      </c>
      <c r="K264" s="18">
        <f>+I264-J264</f>
        <v>4031348</v>
      </c>
      <c r="L264" s="160">
        <v>6254</v>
      </c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</row>
    <row r="265" spans="1:114" s="3" customFormat="1" ht="8.65" customHeight="1" x14ac:dyDescent="0.15">
      <c r="A265" s="8" t="s">
        <v>5</v>
      </c>
      <c r="B265" s="8" t="s">
        <v>125</v>
      </c>
      <c r="C265" s="8" t="s">
        <v>36</v>
      </c>
      <c r="D265" s="8" t="s">
        <v>126</v>
      </c>
      <c r="E265" s="8" t="s">
        <v>290</v>
      </c>
      <c r="F265" s="18"/>
      <c r="G265" s="2"/>
      <c r="H265" s="2">
        <v>250000</v>
      </c>
      <c r="I265" s="51">
        <f>250000-H265</f>
        <v>0</v>
      </c>
      <c r="J265" s="2"/>
      <c r="K265" s="18"/>
      <c r="L265" s="160" t="s">
        <v>551</v>
      </c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</row>
    <row r="266" spans="1:114" s="120" customFormat="1" ht="10.15" customHeight="1" x14ac:dyDescent="0.15">
      <c r="A266" s="259" t="s">
        <v>291</v>
      </c>
      <c r="B266" s="259"/>
      <c r="C266" s="259"/>
      <c r="D266" s="259"/>
      <c r="E266" s="259"/>
      <c r="F266" s="259"/>
      <c r="G266" s="96"/>
      <c r="H266" s="97"/>
      <c r="I266" s="94">
        <f>SUM(I262:I265)</f>
        <v>6864000</v>
      </c>
      <c r="J266" s="94">
        <f>+J265+J264+J263+J262</f>
        <v>1457002</v>
      </c>
      <c r="K266" s="94">
        <f>+K265+K264+K263+K262</f>
        <v>5406998</v>
      </c>
      <c r="L266" s="161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</row>
    <row r="267" spans="1:114" s="9" customFormat="1" ht="10.15" customHeight="1" x14ac:dyDescent="0.15">
      <c r="A267" s="45" t="s">
        <v>46</v>
      </c>
      <c r="B267" s="45" t="s">
        <v>476</v>
      </c>
      <c r="C267" s="45" t="s">
        <v>101</v>
      </c>
      <c r="D267" s="45" t="s">
        <v>477</v>
      </c>
      <c r="E267" s="45" t="s">
        <v>292</v>
      </c>
      <c r="F267" s="15" t="s">
        <v>293</v>
      </c>
      <c r="G267" s="34"/>
      <c r="H267" s="35"/>
      <c r="I267" s="10">
        <v>17500000</v>
      </c>
      <c r="J267" s="2"/>
      <c r="K267" s="18">
        <f>+I267-J267</f>
        <v>17500000</v>
      </c>
      <c r="L267" s="160" t="s">
        <v>551</v>
      </c>
    </row>
    <row r="268" spans="1:114" s="3" customFormat="1" ht="8.65" customHeight="1" x14ac:dyDescent="0.15">
      <c r="A268" s="12" t="s">
        <v>46</v>
      </c>
      <c r="B268" s="12" t="s">
        <v>100</v>
      </c>
      <c r="C268" s="12" t="s">
        <v>101</v>
      </c>
      <c r="D268" s="12" t="s">
        <v>102</v>
      </c>
      <c r="E268" s="12" t="s">
        <v>292</v>
      </c>
      <c r="G268" s="1"/>
      <c r="H268" s="1"/>
      <c r="I268" s="10">
        <v>36500000</v>
      </c>
      <c r="J268" s="1">
        <f>1925520+3261180</f>
        <v>5186700</v>
      </c>
      <c r="K268" s="15">
        <f>+I268-J268</f>
        <v>31313300</v>
      </c>
      <c r="L268" s="160" t="s">
        <v>643</v>
      </c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</row>
    <row r="269" spans="1:114" s="120" customFormat="1" ht="10.15" customHeight="1" x14ac:dyDescent="0.15">
      <c r="A269" s="259" t="s">
        <v>294</v>
      </c>
      <c r="B269" s="259"/>
      <c r="C269" s="259"/>
      <c r="D269" s="259"/>
      <c r="E269" s="259"/>
      <c r="F269" s="259"/>
      <c r="G269" s="96"/>
      <c r="H269" s="97"/>
      <c r="I269" s="94">
        <f>+I268+I267</f>
        <v>54000000</v>
      </c>
      <c r="J269" s="94">
        <f>+J268+J267</f>
        <v>5186700</v>
      </c>
      <c r="K269" s="94">
        <f>SUM(K267:K268)</f>
        <v>48813300</v>
      </c>
      <c r="L269" s="161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</row>
    <row r="270" spans="1:114" s="9" customFormat="1" ht="10.15" customHeight="1" x14ac:dyDescent="0.15">
      <c r="A270" s="44" t="s">
        <v>46</v>
      </c>
      <c r="B270" s="44" t="s">
        <v>100</v>
      </c>
      <c r="C270" s="44" t="s">
        <v>101</v>
      </c>
      <c r="D270" s="99" t="s">
        <v>295</v>
      </c>
      <c r="E270" s="8" t="s">
        <v>296</v>
      </c>
      <c r="F270" s="18" t="s">
        <v>502</v>
      </c>
      <c r="G270" s="34"/>
      <c r="H270" s="2">
        <v>1130360</v>
      </c>
      <c r="I270" s="2">
        <v>24869640</v>
      </c>
      <c r="J270" s="2">
        <v>24869640</v>
      </c>
      <c r="K270" s="18">
        <f>+I270-J270</f>
        <v>0</v>
      </c>
      <c r="L270" s="160" t="s">
        <v>644</v>
      </c>
    </row>
    <row r="271" spans="1:114" s="9" customFormat="1" ht="10.15" customHeight="1" x14ac:dyDescent="0.15">
      <c r="A271" s="44" t="s">
        <v>46</v>
      </c>
      <c r="B271" s="44" t="s">
        <v>100</v>
      </c>
      <c r="C271" s="44" t="s">
        <v>101</v>
      </c>
      <c r="D271" s="99" t="s">
        <v>102</v>
      </c>
      <c r="E271" s="8" t="s">
        <v>296</v>
      </c>
      <c r="F271" s="18"/>
      <c r="G271" s="34"/>
      <c r="H271" s="2"/>
      <c r="I271" s="2">
        <v>1925360</v>
      </c>
      <c r="J271" s="2"/>
      <c r="K271" s="18">
        <f>+I271-J271</f>
        <v>1925360</v>
      </c>
      <c r="L271" s="160" t="s">
        <v>551</v>
      </c>
    </row>
    <row r="272" spans="1:114" s="9" customFormat="1" ht="10.15" customHeight="1" x14ac:dyDescent="0.15">
      <c r="A272" s="44" t="s">
        <v>46</v>
      </c>
      <c r="B272" s="44" t="s">
        <v>466</v>
      </c>
      <c r="C272" s="44" t="s">
        <v>101</v>
      </c>
      <c r="D272" s="99" t="s">
        <v>470</v>
      </c>
      <c r="E272" s="8" t="s">
        <v>296</v>
      </c>
      <c r="F272" s="52"/>
      <c r="G272" s="34"/>
      <c r="H272" s="35"/>
      <c r="I272" s="2">
        <v>3000000</v>
      </c>
      <c r="J272" s="2">
        <v>2495483.9700000002</v>
      </c>
      <c r="K272" s="18">
        <f t="shared" ref="K272:K276" si="13">+I272-J272</f>
        <v>504516.0299999998</v>
      </c>
      <c r="L272" s="160" t="s">
        <v>551</v>
      </c>
    </row>
    <row r="273" spans="1:114" s="9" customFormat="1" ht="10.15" customHeight="1" x14ac:dyDescent="0.15">
      <c r="A273" s="44" t="s">
        <v>46</v>
      </c>
      <c r="B273" s="44" t="s">
        <v>467</v>
      </c>
      <c r="C273" s="44" t="s">
        <v>101</v>
      </c>
      <c r="D273" s="99" t="s">
        <v>471</v>
      </c>
      <c r="E273" s="8" t="s">
        <v>296</v>
      </c>
      <c r="F273" s="52"/>
      <c r="G273" s="34"/>
      <c r="H273" s="35"/>
      <c r="I273" s="2">
        <v>4200000</v>
      </c>
      <c r="J273" s="2">
        <v>3861155.79</v>
      </c>
      <c r="K273" s="18">
        <f t="shared" si="13"/>
        <v>338844.20999999996</v>
      </c>
      <c r="L273" s="160" t="s">
        <v>551</v>
      </c>
    </row>
    <row r="274" spans="1:114" s="9" customFormat="1" ht="10.15" customHeight="1" x14ac:dyDescent="0.15">
      <c r="A274" s="44" t="s">
        <v>46</v>
      </c>
      <c r="B274" s="44" t="s">
        <v>469</v>
      </c>
      <c r="C274" s="44" t="s">
        <v>101</v>
      </c>
      <c r="D274" s="99" t="s">
        <v>503</v>
      </c>
      <c r="E274" s="8" t="s">
        <v>296</v>
      </c>
      <c r="F274" s="52"/>
      <c r="G274" s="34"/>
      <c r="H274" s="35"/>
      <c r="I274" s="2">
        <v>2000000</v>
      </c>
      <c r="J274" s="2">
        <v>1406524.5</v>
      </c>
      <c r="K274" s="18">
        <f t="shared" si="13"/>
        <v>593475.5</v>
      </c>
      <c r="L274" s="160" t="s">
        <v>551</v>
      </c>
    </row>
    <row r="275" spans="1:114" s="9" customFormat="1" ht="10.15" customHeight="1" x14ac:dyDescent="0.15">
      <c r="A275" s="44" t="s">
        <v>46</v>
      </c>
      <c r="B275" s="44" t="s">
        <v>468</v>
      </c>
      <c r="C275" s="44" t="s">
        <v>101</v>
      </c>
      <c r="D275" s="99" t="s">
        <v>472</v>
      </c>
      <c r="E275" s="8" t="s">
        <v>296</v>
      </c>
      <c r="F275" s="52"/>
      <c r="G275" s="34"/>
      <c r="H275" s="35"/>
      <c r="I275" s="2">
        <v>7000000</v>
      </c>
      <c r="J275" s="2">
        <v>6461393.2699999996</v>
      </c>
      <c r="K275" s="18">
        <f t="shared" si="13"/>
        <v>538606.73000000045</v>
      </c>
      <c r="L275" s="160" t="s">
        <v>551</v>
      </c>
    </row>
    <row r="276" spans="1:114" s="9" customFormat="1" ht="8.65" customHeight="1" x14ac:dyDescent="0.15">
      <c r="A276" s="44" t="s">
        <v>46</v>
      </c>
      <c r="B276" s="44" t="s">
        <v>469</v>
      </c>
      <c r="C276" s="44" t="s">
        <v>101</v>
      </c>
      <c r="D276" s="99" t="s">
        <v>489</v>
      </c>
      <c r="E276" s="8" t="s">
        <v>296</v>
      </c>
      <c r="F276" s="42"/>
      <c r="G276" s="2"/>
      <c r="H276" s="2"/>
      <c r="I276" s="2">
        <v>3000000</v>
      </c>
      <c r="J276" s="2">
        <v>2559571.13</v>
      </c>
      <c r="K276" s="18">
        <f t="shared" si="13"/>
        <v>440428.87000000011</v>
      </c>
      <c r="L276" s="160" t="s">
        <v>551</v>
      </c>
    </row>
    <row r="277" spans="1:114" s="120" customFormat="1" ht="10.15" customHeight="1" x14ac:dyDescent="0.15">
      <c r="A277" s="259" t="s">
        <v>297</v>
      </c>
      <c r="B277" s="259"/>
      <c r="C277" s="259"/>
      <c r="D277" s="259"/>
      <c r="E277" s="259"/>
      <c r="F277" s="259"/>
      <c r="G277" s="96"/>
      <c r="H277" s="97"/>
      <c r="I277" s="94">
        <f>SUM(I270:I276)</f>
        <v>45995000</v>
      </c>
      <c r="J277" s="94">
        <f>+J276+J275+J273+J272+J270</f>
        <v>40247244.159999996</v>
      </c>
      <c r="K277" s="94">
        <f>SUM(K270:K276)</f>
        <v>4341231.34</v>
      </c>
      <c r="L277" s="161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</row>
    <row r="278" spans="1:114" s="3" customFormat="1" ht="8.65" customHeight="1" x14ac:dyDescent="0.15">
      <c r="A278" s="12" t="s">
        <v>46</v>
      </c>
      <c r="B278" s="12" t="s">
        <v>100</v>
      </c>
      <c r="C278" s="12" t="s">
        <v>101</v>
      </c>
      <c r="D278" s="12" t="s">
        <v>298</v>
      </c>
      <c r="E278" s="12" t="s">
        <v>299</v>
      </c>
      <c r="F278" s="15" t="s">
        <v>300</v>
      </c>
      <c r="G278" s="1"/>
      <c r="H278" s="1"/>
      <c r="I278" s="10">
        <v>162235195</v>
      </c>
      <c r="J278" s="1"/>
      <c r="K278" s="15">
        <f>+I278-J278</f>
        <v>162235195</v>
      </c>
      <c r="L278" s="160" t="s">
        <v>551</v>
      </c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</row>
    <row r="279" spans="1:114" s="120" customFormat="1" ht="10.15" customHeight="1" x14ac:dyDescent="0.15">
      <c r="A279" s="259" t="s">
        <v>301</v>
      </c>
      <c r="B279" s="259"/>
      <c r="C279" s="259"/>
      <c r="D279" s="259"/>
      <c r="E279" s="259"/>
      <c r="F279" s="259"/>
      <c r="G279" s="96"/>
      <c r="H279" s="97"/>
      <c r="I279" s="94">
        <v>162235195</v>
      </c>
      <c r="J279" s="94">
        <f>+J278</f>
        <v>0</v>
      </c>
      <c r="K279" s="94">
        <f>SUM(K278)</f>
        <v>162235195</v>
      </c>
      <c r="L279" s="161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</row>
    <row r="280" spans="1:114" s="3" customFormat="1" ht="8.65" customHeight="1" x14ac:dyDescent="0.15">
      <c r="A280" s="8" t="s">
        <v>5</v>
      </c>
      <c r="B280" s="8" t="s">
        <v>302</v>
      </c>
      <c r="C280" s="8" t="s">
        <v>57</v>
      </c>
      <c r="D280" s="8" t="s">
        <v>303</v>
      </c>
      <c r="E280" s="8" t="s">
        <v>304</v>
      </c>
      <c r="F280" s="18" t="s">
        <v>305</v>
      </c>
      <c r="G280" s="2"/>
      <c r="H280" s="2"/>
      <c r="I280" s="51">
        <v>4000000</v>
      </c>
      <c r="J280" s="2"/>
      <c r="K280" s="2">
        <f>+I280-J280</f>
        <v>4000000</v>
      </c>
      <c r="L280" s="160" t="s">
        <v>551</v>
      </c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</row>
    <row r="281" spans="1:114" s="3" customFormat="1" ht="8.65" customHeight="1" x14ac:dyDescent="0.15">
      <c r="A281" s="8" t="s">
        <v>5</v>
      </c>
      <c r="B281" s="8" t="s">
        <v>131</v>
      </c>
      <c r="C281" s="8" t="s">
        <v>92</v>
      </c>
      <c r="D281" s="8" t="s">
        <v>132</v>
      </c>
      <c r="E281" s="8" t="s">
        <v>304</v>
      </c>
      <c r="F281" s="18"/>
      <c r="G281" s="2"/>
      <c r="H281" s="2"/>
      <c r="I281" s="51">
        <v>1000000</v>
      </c>
      <c r="J281" s="2"/>
      <c r="K281" s="2">
        <f t="shared" ref="K281:K282" si="14">+I281-J281</f>
        <v>1000000</v>
      </c>
      <c r="L281" s="160" t="s">
        <v>551</v>
      </c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</row>
    <row r="282" spans="1:114" s="3" customFormat="1" ht="8.65" customHeight="1" x14ac:dyDescent="0.15">
      <c r="A282" s="8" t="s">
        <v>5</v>
      </c>
      <c r="B282" s="8" t="s">
        <v>63</v>
      </c>
      <c r="C282" s="8" t="s">
        <v>64</v>
      </c>
      <c r="D282" s="8" t="s">
        <v>65</v>
      </c>
      <c r="E282" s="8" t="s">
        <v>304</v>
      </c>
      <c r="F282" s="18"/>
      <c r="G282" s="2"/>
      <c r="H282" s="2"/>
      <c r="I282" s="51">
        <v>300000</v>
      </c>
      <c r="J282" s="2"/>
      <c r="K282" s="2">
        <f t="shared" si="14"/>
        <v>300000</v>
      </c>
      <c r="L282" s="160" t="s">
        <v>551</v>
      </c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</row>
    <row r="283" spans="1:114" s="120" customFormat="1" ht="10.15" customHeight="1" x14ac:dyDescent="0.15">
      <c r="A283" s="259" t="s">
        <v>306</v>
      </c>
      <c r="B283" s="259"/>
      <c r="C283" s="259"/>
      <c r="D283" s="259"/>
      <c r="E283" s="259"/>
      <c r="F283" s="259"/>
      <c r="G283" s="96"/>
      <c r="H283" s="97"/>
      <c r="I283" s="94">
        <f>SUM(I280:I282)</f>
        <v>5300000</v>
      </c>
      <c r="J283" s="94">
        <f>+J282+J281+J280</f>
        <v>0</v>
      </c>
      <c r="K283" s="94">
        <f>SUM(K280:K282)</f>
        <v>5300000</v>
      </c>
      <c r="L283" s="161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</row>
    <row r="284" spans="1:114" s="3" customFormat="1" ht="8.65" customHeight="1" x14ac:dyDescent="0.15">
      <c r="A284" s="8" t="s">
        <v>5</v>
      </c>
      <c r="B284" s="8" t="s">
        <v>169</v>
      </c>
      <c r="C284" s="8" t="s">
        <v>7</v>
      </c>
      <c r="D284" s="8" t="s">
        <v>170</v>
      </c>
      <c r="E284" s="8" t="s">
        <v>307</v>
      </c>
      <c r="F284" s="18" t="s">
        <v>308</v>
      </c>
      <c r="G284" s="2"/>
      <c r="H284" s="2"/>
      <c r="I284" s="51">
        <v>70000</v>
      </c>
      <c r="J284" s="2"/>
      <c r="K284" s="18">
        <f>+I284-J284</f>
        <v>70000</v>
      </c>
      <c r="L284" s="160" t="s">
        <v>551</v>
      </c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</row>
    <row r="285" spans="1:114" s="3" customFormat="1" ht="8.65" customHeight="1" x14ac:dyDescent="0.15">
      <c r="A285" s="8" t="s">
        <v>5</v>
      </c>
      <c r="B285" s="8" t="s">
        <v>72</v>
      </c>
      <c r="C285" s="8" t="s">
        <v>73</v>
      </c>
      <c r="D285" s="8" t="s">
        <v>309</v>
      </c>
      <c r="E285" s="8" t="s">
        <v>307</v>
      </c>
      <c r="F285" s="18"/>
      <c r="G285" s="2"/>
      <c r="H285" s="2"/>
      <c r="I285" s="51"/>
      <c r="J285" s="2"/>
      <c r="K285" s="18">
        <f t="shared" ref="K285:K288" si="15">+I285-J285</f>
        <v>0</v>
      </c>
      <c r="L285" s="160" t="s">
        <v>551</v>
      </c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</row>
    <row r="286" spans="1:114" s="3" customFormat="1" ht="8.65" customHeight="1" x14ac:dyDescent="0.15">
      <c r="A286" s="8" t="s">
        <v>5</v>
      </c>
      <c r="B286" s="8" t="s">
        <v>75</v>
      </c>
      <c r="C286" s="8" t="s">
        <v>73</v>
      </c>
      <c r="D286" s="8" t="s">
        <v>310</v>
      </c>
      <c r="E286" s="8" t="s">
        <v>307</v>
      </c>
      <c r="F286" s="18"/>
      <c r="G286" s="2"/>
      <c r="H286" s="2"/>
      <c r="I286" s="51"/>
      <c r="J286" s="2"/>
      <c r="K286" s="18">
        <f t="shared" si="15"/>
        <v>0</v>
      </c>
      <c r="L286" s="160" t="s">
        <v>551</v>
      </c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</row>
    <row r="287" spans="1:114" s="3" customFormat="1" ht="8.65" customHeight="1" x14ac:dyDescent="0.15">
      <c r="A287" s="8" t="s">
        <v>5</v>
      </c>
      <c r="B287" s="8" t="s">
        <v>143</v>
      </c>
      <c r="C287" s="8" t="s">
        <v>68</v>
      </c>
      <c r="D287" s="8" t="s">
        <v>311</v>
      </c>
      <c r="E287" s="8" t="s">
        <v>307</v>
      </c>
      <c r="F287" s="18"/>
      <c r="G287" s="2"/>
      <c r="H287" s="2"/>
      <c r="I287" s="51"/>
      <c r="J287" s="2"/>
      <c r="K287" s="18">
        <f t="shared" si="15"/>
        <v>0</v>
      </c>
      <c r="L287" s="160" t="s">
        <v>551</v>
      </c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</row>
    <row r="288" spans="1:114" s="3" customFormat="1" ht="8.65" customHeight="1" x14ac:dyDescent="0.15">
      <c r="A288" s="8" t="s">
        <v>5</v>
      </c>
      <c r="B288" s="8" t="s">
        <v>145</v>
      </c>
      <c r="C288" s="8" t="s">
        <v>68</v>
      </c>
      <c r="D288" s="8" t="s">
        <v>312</v>
      </c>
      <c r="E288" s="8" t="s">
        <v>307</v>
      </c>
      <c r="F288" s="18"/>
      <c r="G288" s="2"/>
      <c r="H288" s="2"/>
      <c r="I288" s="51">
        <v>150000</v>
      </c>
      <c r="J288" s="2"/>
      <c r="K288" s="18">
        <f t="shared" si="15"/>
        <v>150000</v>
      </c>
      <c r="L288" s="160" t="s">
        <v>551</v>
      </c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</row>
    <row r="289" spans="1:114" s="3" customFormat="1" ht="8.65" customHeight="1" x14ac:dyDescent="0.15">
      <c r="A289" s="8" t="s">
        <v>5</v>
      </c>
      <c r="B289" s="8" t="s">
        <v>47</v>
      </c>
      <c r="C289" s="8" t="s">
        <v>48</v>
      </c>
      <c r="D289" s="8" t="s">
        <v>49</v>
      </c>
      <c r="E289" s="8" t="s">
        <v>307</v>
      </c>
      <c r="F289" s="18"/>
      <c r="G289" s="2"/>
      <c r="H289" s="2">
        <v>500000</v>
      </c>
      <c r="I289" s="51">
        <v>6605000</v>
      </c>
      <c r="J289" s="2">
        <f>2456796.3+2948155.56+700000</f>
        <v>6104951.8599999994</v>
      </c>
      <c r="K289" s="18">
        <f>+I289-J289</f>
        <v>500048.1400000006</v>
      </c>
      <c r="L289" s="160" t="s">
        <v>526</v>
      </c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</row>
    <row r="290" spans="1:114" s="3" customFormat="1" ht="8.65" customHeight="1" x14ac:dyDescent="0.15">
      <c r="A290" s="8" t="s">
        <v>5</v>
      </c>
      <c r="B290" s="8" t="s">
        <v>313</v>
      </c>
      <c r="C290" s="8" t="s">
        <v>48</v>
      </c>
      <c r="D290" s="8" t="s">
        <v>314</v>
      </c>
      <c r="E290" s="8" t="s">
        <v>307</v>
      </c>
      <c r="F290" s="18"/>
      <c r="G290" s="2"/>
      <c r="H290" s="2"/>
      <c r="I290" s="51">
        <v>500000</v>
      </c>
      <c r="J290" s="2"/>
      <c r="K290" s="18">
        <f t="shared" ref="K290:K291" si="16">+I290-J290</f>
        <v>500000</v>
      </c>
      <c r="L290" s="160" t="s">
        <v>551</v>
      </c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</row>
    <row r="291" spans="1:114" s="3" customFormat="1" ht="8.65" customHeight="1" x14ac:dyDescent="0.15">
      <c r="A291" s="8" t="s">
        <v>5</v>
      </c>
      <c r="B291" s="8" t="s">
        <v>315</v>
      </c>
      <c r="C291" s="8" t="s">
        <v>7</v>
      </c>
      <c r="D291" s="8" t="s">
        <v>316</v>
      </c>
      <c r="E291" s="8" t="s">
        <v>307</v>
      </c>
      <c r="F291" s="18"/>
      <c r="G291" s="2"/>
      <c r="H291" s="2"/>
      <c r="I291" s="51">
        <v>80000</v>
      </c>
      <c r="J291" s="2"/>
      <c r="K291" s="18">
        <f t="shared" si="16"/>
        <v>80000</v>
      </c>
      <c r="L291" s="160" t="s">
        <v>551</v>
      </c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</row>
    <row r="292" spans="1:114" s="3" customFormat="1" ht="8.65" customHeight="1" x14ac:dyDescent="0.15">
      <c r="A292" s="8" t="s">
        <v>5</v>
      </c>
      <c r="B292" s="8" t="s">
        <v>131</v>
      </c>
      <c r="C292" s="8" t="s">
        <v>92</v>
      </c>
      <c r="D292" s="8" t="s">
        <v>132</v>
      </c>
      <c r="E292" s="8" t="s">
        <v>423</v>
      </c>
      <c r="F292" s="18"/>
      <c r="G292" s="2"/>
      <c r="H292" s="2"/>
      <c r="I292" s="51">
        <v>5000000</v>
      </c>
      <c r="J292" s="2">
        <f>109140+227460+205020</f>
        <v>541620</v>
      </c>
      <c r="K292" s="18">
        <f>+I292-J292</f>
        <v>4458380</v>
      </c>
      <c r="L292" s="160" t="s">
        <v>500</v>
      </c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</row>
    <row r="293" spans="1:114" s="120" customFormat="1" ht="10.15" customHeight="1" x14ac:dyDescent="0.15">
      <c r="A293" s="259" t="s">
        <v>317</v>
      </c>
      <c r="B293" s="259"/>
      <c r="C293" s="259"/>
      <c r="D293" s="259"/>
      <c r="E293" s="259"/>
      <c r="F293" s="259"/>
      <c r="G293" s="96"/>
      <c r="H293" s="97"/>
      <c r="I293" s="94">
        <f>+I284+I285+I286+I287+I288+I289+I290+I291+I292</f>
        <v>12405000</v>
      </c>
      <c r="J293" s="94">
        <f>SUM(J284:J292)</f>
        <v>6646571.8599999994</v>
      </c>
      <c r="K293" s="94">
        <f>SUM(K284:K292)</f>
        <v>5758428.1400000006</v>
      </c>
      <c r="L293" s="161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</row>
    <row r="294" spans="1:114" s="9" customFormat="1" ht="10.15" customHeight="1" x14ac:dyDescent="0.15">
      <c r="A294" s="18" t="s">
        <v>5</v>
      </c>
      <c r="B294" s="18" t="s">
        <v>131</v>
      </c>
      <c r="C294" s="18" t="s">
        <v>92</v>
      </c>
      <c r="D294" s="18" t="s">
        <v>132</v>
      </c>
      <c r="E294" s="20" t="s">
        <v>318</v>
      </c>
      <c r="F294" s="20" t="s">
        <v>319</v>
      </c>
      <c r="G294" s="60"/>
      <c r="H294" s="61"/>
      <c r="I294" s="10">
        <v>2300000</v>
      </c>
      <c r="J294" s="18">
        <v>306000</v>
      </c>
      <c r="K294" s="18">
        <f>+I294-J294</f>
        <v>1994000</v>
      </c>
      <c r="L294" s="165">
        <v>6287</v>
      </c>
    </row>
    <row r="295" spans="1:114" s="3" customFormat="1" ht="8.65" customHeight="1" x14ac:dyDescent="0.15">
      <c r="A295" s="20" t="s">
        <v>5</v>
      </c>
      <c r="B295" s="20" t="s">
        <v>43</v>
      </c>
      <c r="C295" s="20" t="s">
        <v>31</v>
      </c>
      <c r="D295" s="20" t="s">
        <v>44</v>
      </c>
      <c r="E295" s="20" t="s">
        <v>318</v>
      </c>
      <c r="F295" s="15"/>
      <c r="G295" s="20"/>
      <c r="H295" s="20"/>
      <c r="I295" s="10">
        <v>4500000</v>
      </c>
      <c r="J295" s="15">
        <v>3743678.7</v>
      </c>
      <c r="K295" s="15">
        <f>+I295-J295</f>
        <v>756321.29999999981</v>
      </c>
      <c r="L295" s="165">
        <v>6219</v>
      </c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</row>
    <row r="296" spans="1:114" s="120" customFormat="1" ht="10.15" customHeight="1" x14ac:dyDescent="0.15">
      <c r="A296" s="257" t="s">
        <v>320</v>
      </c>
      <c r="B296" s="257"/>
      <c r="C296" s="257"/>
      <c r="D296" s="257"/>
      <c r="E296" s="257"/>
      <c r="F296" s="257"/>
      <c r="G296" s="92"/>
      <c r="H296" s="93"/>
      <c r="I296" s="94">
        <f>+I295+I294</f>
        <v>6800000</v>
      </c>
      <c r="J296" s="94">
        <f>+J295+J294</f>
        <v>4049678.7</v>
      </c>
      <c r="K296" s="94">
        <f>SUM(K294:K295)</f>
        <v>2750321.3</v>
      </c>
      <c r="L296" s="163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</row>
    <row r="297" spans="1:114" s="9" customFormat="1" ht="8.65" customHeight="1" x14ac:dyDescent="0.15">
      <c r="A297" s="18" t="s">
        <v>5</v>
      </c>
      <c r="B297" s="18" t="s">
        <v>56</v>
      </c>
      <c r="C297" s="18" t="s">
        <v>57</v>
      </c>
      <c r="D297" s="18" t="s">
        <v>321</v>
      </c>
      <c r="E297" s="18" t="s">
        <v>322</v>
      </c>
      <c r="F297" s="18" t="s">
        <v>323</v>
      </c>
      <c r="G297" s="18">
        <v>0.1</v>
      </c>
      <c r="H297" s="18"/>
      <c r="I297" s="51">
        <f>750000+G297</f>
        <v>750000.1</v>
      </c>
      <c r="J297" s="18">
        <v>750000.1</v>
      </c>
      <c r="K297" s="18">
        <f>+I297-J297</f>
        <v>0</v>
      </c>
      <c r="L297" s="162" t="s">
        <v>408</v>
      </c>
    </row>
    <row r="298" spans="1:114" s="9" customFormat="1" ht="8.65" customHeight="1" x14ac:dyDescent="0.15">
      <c r="A298" s="8" t="s">
        <v>5</v>
      </c>
      <c r="B298" s="8" t="s">
        <v>131</v>
      </c>
      <c r="C298" s="8" t="s">
        <v>92</v>
      </c>
      <c r="D298" s="8" t="s">
        <v>132</v>
      </c>
      <c r="E298" s="8" t="s">
        <v>322</v>
      </c>
      <c r="F298" s="18"/>
      <c r="G298" s="2"/>
      <c r="H298" s="2"/>
      <c r="I298" s="51">
        <v>2300000</v>
      </c>
      <c r="J298" s="2">
        <f>127500+90780+90780+90780+90780</f>
        <v>490620</v>
      </c>
      <c r="K298" s="18">
        <f>+I298-J298</f>
        <v>1809380</v>
      </c>
      <c r="L298" s="160" t="s">
        <v>512</v>
      </c>
    </row>
    <row r="299" spans="1:114" s="9" customFormat="1" ht="8.65" customHeight="1" x14ac:dyDescent="0.15">
      <c r="A299" s="18" t="s">
        <v>5</v>
      </c>
      <c r="B299" s="18" t="s">
        <v>324</v>
      </c>
      <c r="C299" s="18" t="s">
        <v>31</v>
      </c>
      <c r="D299" s="18" t="s">
        <v>325</v>
      </c>
      <c r="E299" s="18" t="s">
        <v>322</v>
      </c>
      <c r="F299" s="18"/>
      <c r="G299" s="18"/>
      <c r="H299" s="18">
        <v>16000000</v>
      </c>
      <c r="I299" s="51">
        <f>16000000-H299</f>
        <v>0</v>
      </c>
      <c r="J299" s="18"/>
      <c r="K299" s="18"/>
      <c r="L299" s="162" t="s">
        <v>551</v>
      </c>
    </row>
    <row r="300" spans="1:114" s="9" customFormat="1" ht="8.65" customHeight="1" x14ac:dyDescent="0.15">
      <c r="A300" s="18" t="s">
        <v>5</v>
      </c>
      <c r="B300" s="18" t="s">
        <v>541</v>
      </c>
      <c r="C300" s="18" t="s">
        <v>73</v>
      </c>
      <c r="D300" s="18" t="s">
        <v>542</v>
      </c>
      <c r="E300" s="69" t="s">
        <v>322</v>
      </c>
      <c r="F300" s="18"/>
      <c r="G300" s="18"/>
      <c r="H300" s="18"/>
      <c r="I300" s="51">
        <v>4000000</v>
      </c>
      <c r="J300" s="18"/>
      <c r="K300" s="18">
        <f>+I300</f>
        <v>4000000</v>
      </c>
      <c r="L300" s="162" t="s">
        <v>551</v>
      </c>
    </row>
    <row r="301" spans="1:114" s="9" customFormat="1" ht="8.65" customHeight="1" x14ac:dyDescent="0.15">
      <c r="A301" s="18" t="s">
        <v>5</v>
      </c>
      <c r="B301" s="18" t="s">
        <v>190</v>
      </c>
      <c r="C301" s="18" t="s">
        <v>48</v>
      </c>
      <c r="D301" s="18" t="s">
        <v>191</v>
      </c>
      <c r="E301" s="18" t="s">
        <v>322</v>
      </c>
      <c r="F301" s="18"/>
      <c r="G301" s="18"/>
      <c r="H301" s="18"/>
      <c r="I301" s="51">
        <v>706000</v>
      </c>
      <c r="J301" s="18"/>
      <c r="K301" s="18">
        <f>+I301</f>
        <v>706000</v>
      </c>
      <c r="L301" s="162" t="s">
        <v>551</v>
      </c>
    </row>
    <row r="302" spans="1:114" s="9" customFormat="1" ht="8.65" customHeight="1" x14ac:dyDescent="0.15">
      <c r="A302" s="18" t="s">
        <v>5</v>
      </c>
      <c r="B302" s="18" t="s">
        <v>47</v>
      </c>
      <c r="C302" s="18" t="s">
        <v>48</v>
      </c>
      <c r="D302" s="18" t="s">
        <v>49</v>
      </c>
      <c r="E302" s="18" t="s">
        <v>322</v>
      </c>
      <c r="F302" s="18"/>
      <c r="G302" s="18"/>
      <c r="H302" s="18"/>
      <c r="I302" s="51">
        <v>6344000</v>
      </c>
      <c r="J302" s="18">
        <f>3044473.17+2029648.76+507412.19+761957.21</f>
        <v>6343491.3300000001</v>
      </c>
      <c r="K302" s="18">
        <f>+I302-J302</f>
        <v>508.66999999992549</v>
      </c>
      <c r="L302" s="162" t="s">
        <v>533</v>
      </c>
    </row>
    <row r="303" spans="1:114" s="9" customFormat="1" ht="8.65" customHeight="1" x14ac:dyDescent="0.15">
      <c r="A303" s="18" t="s">
        <v>5</v>
      </c>
      <c r="B303" s="18" t="s">
        <v>53</v>
      </c>
      <c r="C303" s="18" t="s">
        <v>48</v>
      </c>
      <c r="D303" s="18" t="s">
        <v>54</v>
      </c>
      <c r="E303" s="18" t="s">
        <v>322</v>
      </c>
      <c r="F303" s="18"/>
      <c r="G303" s="18"/>
      <c r="H303" s="18"/>
      <c r="I303" s="51">
        <v>36670000</v>
      </c>
      <c r="J303" s="18"/>
      <c r="K303" s="18">
        <f>+I303-J303</f>
        <v>36670000</v>
      </c>
      <c r="L303" s="162" t="s">
        <v>551</v>
      </c>
    </row>
    <row r="304" spans="1:114" s="120" customFormat="1" ht="10.15" customHeight="1" x14ac:dyDescent="0.15">
      <c r="A304" s="257" t="s">
        <v>326</v>
      </c>
      <c r="B304" s="257"/>
      <c r="C304" s="257"/>
      <c r="D304" s="257"/>
      <c r="E304" s="257"/>
      <c r="F304" s="257"/>
      <c r="G304" s="92"/>
      <c r="H304" s="93"/>
      <c r="I304" s="94">
        <f>SUM(I297:I303)</f>
        <v>50770000.100000001</v>
      </c>
      <c r="J304" s="94">
        <f>SUM(J297:J303)</f>
        <v>7584111.4299999997</v>
      </c>
      <c r="K304" s="94">
        <f>+K303+K302+K301+K300+K299+K298+K297</f>
        <v>43185888.670000002</v>
      </c>
      <c r="L304" s="163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</row>
    <row r="305" spans="1:114" s="9" customFormat="1" ht="10.15" customHeight="1" x14ac:dyDescent="0.15">
      <c r="A305" s="18" t="s">
        <v>5</v>
      </c>
      <c r="B305" s="18" t="s">
        <v>131</v>
      </c>
      <c r="C305" s="18" t="s">
        <v>92</v>
      </c>
      <c r="D305" s="18" t="s">
        <v>132</v>
      </c>
      <c r="E305" s="18" t="s">
        <v>328</v>
      </c>
      <c r="F305" s="18" t="s">
        <v>407</v>
      </c>
      <c r="G305" s="60"/>
      <c r="H305" s="61"/>
      <c r="I305" s="51">
        <v>2300000</v>
      </c>
      <c r="J305" s="18"/>
      <c r="K305" s="18">
        <f>+I305-J305</f>
        <v>2300000</v>
      </c>
      <c r="L305" s="162" t="s">
        <v>551</v>
      </c>
    </row>
    <row r="306" spans="1:114" s="3" customFormat="1" ht="8.65" customHeight="1" x14ac:dyDescent="0.15">
      <c r="A306" s="18" t="s">
        <v>5</v>
      </c>
      <c r="B306" s="18" t="s">
        <v>105</v>
      </c>
      <c r="C306" s="18" t="s">
        <v>31</v>
      </c>
      <c r="D306" s="18" t="s">
        <v>327</v>
      </c>
      <c r="E306" s="18" t="s">
        <v>328</v>
      </c>
      <c r="F306" s="18"/>
      <c r="G306" s="18"/>
      <c r="H306" s="18"/>
      <c r="I306" s="51">
        <v>9000000</v>
      </c>
      <c r="J306" s="18">
        <v>6964544.3700000001</v>
      </c>
      <c r="K306" s="18">
        <f>+I306-J306</f>
        <v>2035455.63</v>
      </c>
      <c r="L306" s="162" t="s">
        <v>409</v>
      </c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</row>
    <row r="307" spans="1:114" s="120" customFormat="1" ht="10.15" customHeight="1" x14ac:dyDescent="0.15">
      <c r="A307" s="257" t="s">
        <v>329</v>
      </c>
      <c r="B307" s="257"/>
      <c r="C307" s="257"/>
      <c r="D307" s="257"/>
      <c r="E307" s="257"/>
      <c r="F307" s="257"/>
      <c r="G307" s="92"/>
      <c r="H307" s="93"/>
      <c r="I307" s="94">
        <f>SUM(I305:I306)</f>
        <v>11300000</v>
      </c>
      <c r="J307" s="94">
        <f>+J306+J305</f>
        <v>6964544.3700000001</v>
      </c>
      <c r="K307" s="94">
        <f>SUM(K305:K306)</f>
        <v>4335455.63</v>
      </c>
      <c r="L307" s="163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</row>
    <row r="308" spans="1:114" s="3" customFormat="1" ht="8.65" customHeight="1" x14ac:dyDescent="0.15">
      <c r="A308" s="18" t="s">
        <v>5</v>
      </c>
      <c r="B308" s="18" t="s">
        <v>40</v>
      </c>
      <c r="C308" s="18" t="s">
        <v>41</v>
      </c>
      <c r="D308" s="18" t="s">
        <v>332</v>
      </c>
      <c r="E308" s="18" t="s">
        <v>330</v>
      </c>
      <c r="F308" s="18" t="s">
        <v>331</v>
      </c>
      <c r="G308" s="18"/>
      <c r="H308" s="18"/>
      <c r="I308" s="51">
        <v>550000</v>
      </c>
      <c r="J308" s="18"/>
      <c r="K308" s="18">
        <f>+I308-J308</f>
        <v>550000</v>
      </c>
      <c r="L308" s="162" t="s">
        <v>551</v>
      </c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</row>
    <row r="309" spans="1:114" s="3" customFormat="1" ht="8.65" customHeight="1" x14ac:dyDescent="0.15">
      <c r="A309" s="18" t="s">
        <v>5</v>
      </c>
      <c r="B309" s="18" t="s">
        <v>165</v>
      </c>
      <c r="C309" s="18" t="s">
        <v>12</v>
      </c>
      <c r="D309" s="18" t="s">
        <v>333</v>
      </c>
      <c r="E309" s="18" t="s">
        <v>330</v>
      </c>
      <c r="F309" s="18"/>
      <c r="G309" s="18"/>
      <c r="H309" s="18"/>
      <c r="I309" s="51">
        <v>750000</v>
      </c>
      <c r="J309" s="18">
        <f>188936+34352</f>
        <v>223288</v>
      </c>
      <c r="K309" s="18">
        <f>+I309-J309</f>
        <v>526712</v>
      </c>
      <c r="L309" s="165" t="s">
        <v>507</v>
      </c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</row>
    <row r="310" spans="1:114" s="120" customFormat="1" ht="10.15" customHeight="1" x14ac:dyDescent="0.15">
      <c r="A310" s="257" t="s">
        <v>334</v>
      </c>
      <c r="B310" s="257"/>
      <c r="C310" s="257"/>
      <c r="D310" s="257"/>
      <c r="E310" s="257"/>
      <c r="F310" s="257"/>
      <c r="G310" s="92"/>
      <c r="H310" s="93"/>
      <c r="I310" s="94">
        <f>SUM(I308:I309)</f>
        <v>1300000</v>
      </c>
      <c r="J310" s="94">
        <f>+J309+J308</f>
        <v>223288</v>
      </c>
      <c r="K310" s="94">
        <f>SUM(K308:K309)</f>
        <v>1076712</v>
      </c>
      <c r="L310" s="163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</row>
    <row r="311" spans="1:114" s="9" customFormat="1" ht="8.65" customHeight="1" x14ac:dyDescent="0.15">
      <c r="A311" s="8" t="s">
        <v>5</v>
      </c>
      <c r="B311" s="8" t="s">
        <v>129</v>
      </c>
      <c r="C311" s="8" t="s">
        <v>57</v>
      </c>
      <c r="D311" s="8" t="s">
        <v>335</v>
      </c>
      <c r="E311" s="8" t="s">
        <v>336</v>
      </c>
      <c r="F311" s="18" t="s">
        <v>337</v>
      </c>
      <c r="G311" s="2"/>
      <c r="H311" s="2">
        <v>5000000</v>
      </c>
      <c r="I311" s="51">
        <f>12000000-H311</f>
        <v>7000000</v>
      </c>
      <c r="J311" s="2">
        <v>657000</v>
      </c>
      <c r="K311" s="2">
        <f>+I311-J311</f>
        <v>6343000</v>
      </c>
      <c r="L311" s="160" t="s">
        <v>645</v>
      </c>
    </row>
    <row r="312" spans="1:114" s="120" customFormat="1" ht="10.15" customHeight="1" x14ac:dyDescent="0.15">
      <c r="A312" s="259" t="s">
        <v>338</v>
      </c>
      <c r="B312" s="259"/>
      <c r="C312" s="259"/>
      <c r="D312" s="259"/>
      <c r="E312" s="259"/>
      <c r="F312" s="259"/>
      <c r="G312" s="96"/>
      <c r="H312" s="97"/>
      <c r="I312" s="94">
        <f>+I311</f>
        <v>7000000</v>
      </c>
      <c r="J312" s="94">
        <f>+J311</f>
        <v>657000</v>
      </c>
      <c r="K312" s="94">
        <f>SUM(K311)</f>
        <v>6343000</v>
      </c>
      <c r="L312" s="161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</row>
    <row r="313" spans="1:114" s="3" customFormat="1" ht="8.65" customHeight="1" x14ac:dyDescent="0.15">
      <c r="A313" s="18" t="s">
        <v>5</v>
      </c>
      <c r="B313" s="18" t="s">
        <v>339</v>
      </c>
      <c r="C313" s="18" t="s">
        <v>7</v>
      </c>
      <c r="D313" s="18" t="s">
        <v>340</v>
      </c>
      <c r="E313" s="18" t="s">
        <v>341</v>
      </c>
      <c r="F313" s="18" t="s">
        <v>390</v>
      </c>
      <c r="G313" s="18"/>
      <c r="H313" s="18"/>
      <c r="I313" s="51">
        <v>2433244.0499999998</v>
      </c>
      <c r="J313" s="18">
        <f>719631+273339+1440274.05</f>
        <v>2433244.0499999998</v>
      </c>
      <c r="K313" s="18">
        <f>+I313-J313</f>
        <v>0</v>
      </c>
      <c r="L313" s="162" t="s">
        <v>646</v>
      </c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</row>
    <row r="314" spans="1:114" s="3" customFormat="1" ht="8.65" customHeight="1" x14ac:dyDescent="0.15">
      <c r="A314" s="18" t="s">
        <v>5</v>
      </c>
      <c r="B314" s="18" t="s">
        <v>339</v>
      </c>
      <c r="C314" s="18" t="s">
        <v>7</v>
      </c>
      <c r="D314" s="18" t="s">
        <v>340</v>
      </c>
      <c r="E314" s="18" t="s">
        <v>341</v>
      </c>
      <c r="F314" s="18"/>
      <c r="G314" s="18"/>
      <c r="H314" s="18"/>
      <c r="I314" s="51"/>
      <c r="J314" s="18"/>
      <c r="K314" s="18">
        <f>+I314-J314</f>
        <v>0</v>
      </c>
      <c r="L314" s="162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</row>
    <row r="315" spans="1:114" s="3" customFormat="1" ht="8.65" customHeight="1" x14ac:dyDescent="0.15">
      <c r="A315" s="18" t="s">
        <v>5</v>
      </c>
      <c r="B315" s="18" t="s">
        <v>169</v>
      </c>
      <c r="C315" s="18" t="s">
        <v>7</v>
      </c>
      <c r="D315" s="18" t="s">
        <v>170</v>
      </c>
      <c r="E315" s="18" t="s">
        <v>341</v>
      </c>
      <c r="F315" s="18"/>
      <c r="G315" s="18"/>
      <c r="H315" s="18">
        <v>180000</v>
      </c>
      <c r="I315" s="51">
        <v>610200</v>
      </c>
      <c r="J315" s="18">
        <v>610200</v>
      </c>
      <c r="K315" s="18">
        <f>+I315-J315</f>
        <v>0</v>
      </c>
      <c r="L315" s="162" t="s">
        <v>647</v>
      </c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</row>
    <row r="316" spans="1:114" s="3" customFormat="1" ht="8.65" customHeight="1" x14ac:dyDescent="0.15">
      <c r="A316" s="18" t="s">
        <v>5</v>
      </c>
      <c r="B316" s="18" t="s">
        <v>342</v>
      </c>
      <c r="C316" s="18" t="s">
        <v>156</v>
      </c>
      <c r="D316" s="18" t="s">
        <v>343</v>
      </c>
      <c r="E316" s="18" t="s">
        <v>341</v>
      </c>
      <c r="F316" s="18"/>
      <c r="G316" s="18"/>
      <c r="H316" s="18"/>
      <c r="I316" s="51">
        <v>3000000</v>
      </c>
      <c r="J316" s="18">
        <f>222836+1337016</f>
        <v>1559852</v>
      </c>
      <c r="K316" s="18">
        <f t="shared" ref="K316:K323" si="17">+I316-J316</f>
        <v>1440148</v>
      </c>
      <c r="L316" s="162" t="s">
        <v>387</v>
      </c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</row>
    <row r="317" spans="1:114" s="3" customFormat="1" ht="8.65" customHeight="1" x14ac:dyDescent="0.15">
      <c r="A317" s="8" t="s">
        <v>5</v>
      </c>
      <c r="B317" s="8" t="s">
        <v>514</v>
      </c>
      <c r="C317" s="8" t="s">
        <v>515</v>
      </c>
      <c r="D317" s="18" t="s">
        <v>516</v>
      </c>
      <c r="E317" s="18" t="s">
        <v>341</v>
      </c>
      <c r="F317" s="18"/>
      <c r="G317" s="18"/>
      <c r="H317" s="18"/>
      <c r="I317" s="51">
        <v>70000000</v>
      </c>
      <c r="J317" s="18">
        <f>5689385.53+35012523.09</f>
        <v>40701908.620000005</v>
      </c>
      <c r="K317" s="18">
        <f>+I317-J317</f>
        <v>29298091.379999995</v>
      </c>
      <c r="L317" s="162" t="s">
        <v>648</v>
      </c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</row>
    <row r="318" spans="1:114" s="3" customFormat="1" ht="16.5" x14ac:dyDescent="0.15">
      <c r="A318" s="18" t="s">
        <v>5</v>
      </c>
      <c r="B318" s="18" t="s">
        <v>163</v>
      </c>
      <c r="C318" s="18" t="s">
        <v>48</v>
      </c>
      <c r="D318" s="18" t="s">
        <v>173</v>
      </c>
      <c r="E318" s="18" t="s">
        <v>341</v>
      </c>
      <c r="F318" s="18"/>
      <c r="G318" s="18"/>
      <c r="H318" s="18">
        <f>3500000</f>
        <v>3500000</v>
      </c>
      <c r="I318" s="51">
        <v>47695000</v>
      </c>
      <c r="J318" s="18">
        <v>47235602.520000003</v>
      </c>
      <c r="K318" s="18">
        <f>+I318-J318</f>
        <v>459397.47999999672</v>
      </c>
      <c r="L318" s="66" t="s">
        <v>523</v>
      </c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</row>
    <row r="319" spans="1:114" s="3" customFormat="1" ht="8.65" customHeight="1" x14ac:dyDescent="0.15">
      <c r="A319" s="18" t="s">
        <v>5</v>
      </c>
      <c r="B319" s="18" t="s">
        <v>233</v>
      </c>
      <c r="C319" s="18" t="s">
        <v>231</v>
      </c>
      <c r="D319" s="18" t="s">
        <v>234</v>
      </c>
      <c r="E319" s="18" t="s">
        <v>341</v>
      </c>
      <c r="F319" s="18"/>
      <c r="G319" s="18"/>
      <c r="H319" s="18"/>
      <c r="I319" s="51">
        <v>35000000</v>
      </c>
      <c r="J319" s="18">
        <f>19301193.4+9081694.6</f>
        <v>28382888</v>
      </c>
      <c r="K319" s="18">
        <f t="shared" si="17"/>
        <v>6617112</v>
      </c>
      <c r="L319" s="162" t="s">
        <v>388</v>
      </c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</row>
    <row r="320" spans="1:114" s="3" customFormat="1" ht="8.65" customHeight="1" x14ac:dyDescent="0.15">
      <c r="A320" s="18" t="s">
        <v>5</v>
      </c>
      <c r="B320" s="18" t="s">
        <v>129</v>
      </c>
      <c r="C320" s="18" t="s">
        <v>57</v>
      </c>
      <c r="D320" s="18" t="s">
        <v>344</v>
      </c>
      <c r="E320" s="18" t="s">
        <v>341</v>
      </c>
      <c r="F320" s="18"/>
      <c r="G320" s="18"/>
      <c r="H320" s="18">
        <v>0.13</v>
      </c>
      <c r="I320" s="51">
        <f>700000-H320</f>
        <v>699999.87</v>
      </c>
      <c r="J320" s="18"/>
      <c r="K320" s="18">
        <f>+I320-J320</f>
        <v>699999.87</v>
      </c>
      <c r="L320" s="162" t="s">
        <v>551</v>
      </c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</row>
    <row r="321" spans="1:114" s="3" customFormat="1" ht="8.65" customHeight="1" x14ac:dyDescent="0.15">
      <c r="A321" s="8" t="s">
        <v>5</v>
      </c>
      <c r="B321" s="8" t="s">
        <v>174</v>
      </c>
      <c r="C321" s="8" t="s">
        <v>36</v>
      </c>
      <c r="D321" s="18" t="s">
        <v>513</v>
      </c>
      <c r="E321" s="18" t="s">
        <v>341</v>
      </c>
      <c r="F321" s="18"/>
      <c r="G321" s="18"/>
      <c r="H321" s="18"/>
      <c r="I321" s="51">
        <v>50000</v>
      </c>
      <c r="J321" s="18"/>
      <c r="K321" s="18">
        <f>+I321-J321</f>
        <v>50000</v>
      </c>
      <c r="L321" s="162" t="s">
        <v>551</v>
      </c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</row>
    <row r="322" spans="1:114" s="3" customFormat="1" ht="8.65" customHeight="1" x14ac:dyDescent="0.15">
      <c r="A322" s="18" t="s">
        <v>5</v>
      </c>
      <c r="B322" s="18" t="s">
        <v>53</v>
      </c>
      <c r="C322" s="18" t="s">
        <v>48</v>
      </c>
      <c r="D322" s="18" t="s">
        <v>54</v>
      </c>
      <c r="E322" s="18" t="s">
        <v>341</v>
      </c>
      <c r="F322" s="18"/>
      <c r="G322" s="18"/>
      <c r="H322" s="18"/>
      <c r="I322" s="51">
        <v>179500000</v>
      </c>
      <c r="J322" s="18">
        <f>97448191.82+69605851.3</f>
        <v>167054043.12</v>
      </c>
      <c r="K322" s="18">
        <f t="shared" si="17"/>
        <v>12445956.879999995</v>
      </c>
      <c r="L322" s="162" t="s">
        <v>649</v>
      </c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</row>
    <row r="323" spans="1:114" s="3" customFormat="1" ht="8.65" customHeight="1" x14ac:dyDescent="0.15">
      <c r="A323" s="18" t="s">
        <v>5</v>
      </c>
      <c r="B323" s="18" t="s">
        <v>345</v>
      </c>
      <c r="C323" s="18" t="s">
        <v>346</v>
      </c>
      <c r="D323" s="18" t="s">
        <v>347</v>
      </c>
      <c r="E323" s="18" t="s">
        <v>341</v>
      </c>
      <c r="F323" s="18"/>
      <c r="G323" s="18"/>
      <c r="H323" s="18"/>
      <c r="I323" s="51">
        <v>3500000</v>
      </c>
      <c r="J323" s="18">
        <v>3500000</v>
      </c>
      <c r="K323" s="18">
        <f t="shared" si="17"/>
        <v>0</v>
      </c>
      <c r="L323" s="165">
        <v>6054</v>
      </c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</row>
    <row r="324" spans="1:114" s="3" customFormat="1" ht="8.65" customHeight="1" x14ac:dyDescent="0.15">
      <c r="A324" s="18" t="s">
        <v>5</v>
      </c>
      <c r="B324" s="18" t="s">
        <v>348</v>
      </c>
      <c r="C324" s="18" t="s">
        <v>84</v>
      </c>
      <c r="D324" s="18" t="s">
        <v>349</v>
      </c>
      <c r="E324" s="18" t="s">
        <v>341</v>
      </c>
      <c r="F324" s="18"/>
      <c r="G324" s="18"/>
      <c r="H324" s="18"/>
      <c r="I324" s="51">
        <v>15000000</v>
      </c>
      <c r="J324" s="18"/>
      <c r="K324" s="18">
        <f>+I324-J324</f>
        <v>15000000</v>
      </c>
      <c r="L324" s="162" t="s">
        <v>551</v>
      </c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</row>
    <row r="325" spans="1:114" s="120" customFormat="1" ht="10.15" customHeight="1" x14ac:dyDescent="0.15">
      <c r="A325" s="257" t="s">
        <v>350</v>
      </c>
      <c r="B325" s="257"/>
      <c r="C325" s="257"/>
      <c r="D325" s="257"/>
      <c r="E325" s="257"/>
      <c r="F325" s="257"/>
      <c r="G325" s="108"/>
      <c r="H325" s="93"/>
      <c r="I325" s="94">
        <f>SUM(I313:I324)</f>
        <v>357488443.92000002</v>
      </c>
      <c r="J325" s="94">
        <f>SUM(J313:J324)</f>
        <v>291477738.31</v>
      </c>
      <c r="K325" s="94">
        <f>SUM(K313:K324)</f>
        <v>66010705.609999985</v>
      </c>
      <c r="L325" s="163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</row>
    <row r="326" spans="1:114" s="9" customFormat="1" ht="10.15" customHeight="1" x14ac:dyDescent="0.15">
      <c r="A326" s="8" t="s">
        <v>5</v>
      </c>
      <c r="B326" s="8" t="s">
        <v>131</v>
      </c>
      <c r="C326" s="8" t="s">
        <v>92</v>
      </c>
      <c r="D326" s="18" t="s">
        <v>132</v>
      </c>
      <c r="E326" s="18" t="s">
        <v>356</v>
      </c>
      <c r="F326" s="18" t="s">
        <v>357</v>
      </c>
      <c r="G326" s="34"/>
      <c r="H326" s="35"/>
      <c r="I326" s="18">
        <v>2500000</v>
      </c>
      <c r="J326" s="18"/>
      <c r="K326" s="18">
        <f>+I326-J326</f>
        <v>2500000</v>
      </c>
      <c r="L326" s="160" t="s">
        <v>551</v>
      </c>
    </row>
    <row r="327" spans="1:114" s="3" customFormat="1" ht="8.65" customHeight="1" x14ac:dyDescent="0.15">
      <c r="A327" s="8" t="s">
        <v>5</v>
      </c>
      <c r="B327" s="8" t="s">
        <v>143</v>
      </c>
      <c r="C327" s="8" t="s">
        <v>68</v>
      </c>
      <c r="D327" s="18" t="s">
        <v>355</v>
      </c>
      <c r="E327" s="18" t="s">
        <v>356</v>
      </c>
      <c r="F327" s="18"/>
      <c r="G327" s="2"/>
      <c r="H327" s="2"/>
      <c r="I327" s="18">
        <v>40000</v>
      </c>
      <c r="J327" s="18"/>
      <c r="K327" s="18">
        <f>+I327-J327</f>
        <v>40000</v>
      </c>
      <c r="L327" s="160" t="s">
        <v>551</v>
      </c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</row>
    <row r="328" spans="1:114" s="120" customFormat="1" ht="12.6" customHeight="1" x14ac:dyDescent="0.15">
      <c r="A328" s="259" t="s">
        <v>358</v>
      </c>
      <c r="B328" s="259"/>
      <c r="C328" s="259"/>
      <c r="D328" s="259"/>
      <c r="E328" s="259"/>
      <c r="F328" s="259"/>
      <c r="G328" s="96"/>
      <c r="H328" s="97"/>
      <c r="I328" s="94">
        <f>SUM(I326:I327)</f>
        <v>2540000</v>
      </c>
      <c r="J328" s="94">
        <f>+J327+J326</f>
        <v>0</v>
      </c>
      <c r="K328" s="94">
        <f>SUM(K326:K327)</f>
        <v>2540000</v>
      </c>
      <c r="L328" s="161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</row>
    <row r="329" spans="1:114" s="9" customFormat="1" ht="8.65" customHeight="1" x14ac:dyDescent="0.15">
      <c r="A329" s="18" t="s">
        <v>5</v>
      </c>
      <c r="B329" s="18" t="s">
        <v>359</v>
      </c>
      <c r="C329" s="18" t="s">
        <v>360</v>
      </c>
      <c r="D329" s="18" t="s">
        <v>361</v>
      </c>
      <c r="E329" s="18" t="s">
        <v>362</v>
      </c>
      <c r="F329" s="18" t="s">
        <v>363</v>
      </c>
      <c r="G329" s="18"/>
      <c r="H329" s="18"/>
      <c r="I329" s="51">
        <v>285581790.19999999</v>
      </c>
      <c r="J329" s="18">
        <v>283810246.14999998</v>
      </c>
      <c r="K329" s="18">
        <f t="shared" ref="K329:K341" si="18">+I329-J329</f>
        <v>1771544.0500000119</v>
      </c>
      <c r="L329" s="162" t="s">
        <v>650</v>
      </c>
    </row>
    <row r="330" spans="1:114" s="9" customFormat="1" ht="16.5" x14ac:dyDescent="0.15">
      <c r="A330" s="18" t="s">
        <v>5</v>
      </c>
      <c r="B330" s="18" t="s">
        <v>364</v>
      </c>
      <c r="C330" s="18" t="s">
        <v>360</v>
      </c>
      <c r="D330" s="18" t="s">
        <v>365</v>
      </c>
      <c r="E330" s="18" t="s">
        <v>362</v>
      </c>
      <c r="F330" s="18"/>
      <c r="G330" s="18"/>
      <c r="H330" s="18"/>
      <c r="I330" s="51">
        <v>44166365.799999997</v>
      </c>
      <c r="J330" s="18">
        <f>21425263.2+20413042.87</f>
        <v>41838306.07</v>
      </c>
      <c r="K330" s="18">
        <f t="shared" si="18"/>
        <v>2328059.7299999967</v>
      </c>
      <c r="L330" s="66" t="s">
        <v>651</v>
      </c>
    </row>
    <row r="331" spans="1:114" s="9" customFormat="1" ht="8.65" customHeight="1" x14ac:dyDescent="0.15">
      <c r="A331" s="18" t="s">
        <v>5</v>
      </c>
      <c r="B331" s="18" t="s">
        <v>366</v>
      </c>
      <c r="C331" s="18" t="s">
        <v>28</v>
      </c>
      <c r="D331" s="18" t="s">
        <v>367</v>
      </c>
      <c r="E331" s="18" t="s">
        <v>362</v>
      </c>
      <c r="F331" s="18"/>
      <c r="G331" s="18"/>
      <c r="H331" s="18"/>
      <c r="I331" s="51">
        <v>850120000</v>
      </c>
      <c r="J331" s="18">
        <v>812305989.86000001</v>
      </c>
      <c r="K331" s="18">
        <f t="shared" si="18"/>
        <v>37814010.139999986</v>
      </c>
      <c r="L331" s="162" t="s">
        <v>652</v>
      </c>
    </row>
    <row r="332" spans="1:114" s="9" customFormat="1" ht="8.65" customHeight="1" x14ac:dyDescent="0.15">
      <c r="A332" s="18" t="s">
        <v>5</v>
      </c>
      <c r="B332" s="18" t="s">
        <v>368</v>
      </c>
      <c r="C332" s="18" t="s">
        <v>369</v>
      </c>
      <c r="D332" s="18" t="s">
        <v>370</v>
      </c>
      <c r="E332" s="18" t="s">
        <v>362</v>
      </c>
      <c r="F332" s="18"/>
      <c r="G332" s="18"/>
      <c r="H332" s="18"/>
      <c r="I332" s="51">
        <v>26000000</v>
      </c>
      <c r="J332" s="18"/>
      <c r="K332" s="18">
        <f t="shared" si="18"/>
        <v>26000000</v>
      </c>
      <c r="L332" s="162" t="s">
        <v>551</v>
      </c>
    </row>
    <row r="333" spans="1:114" s="9" customFormat="1" ht="8.65" customHeight="1" x14ac:dyDescent="0.15">
      <c r="A333" s="18" t="s">
        <v>5</v>
      </c>
      <c r="B333" s="18" t="s">
        <v>371</v>
      </c>
      <c r="C333" s="18" t="s">
        <v>64</v>
      </c>
      <c r="D333" s="18" t="s">
        <v>372</v>
      </c>
      <c r="E333" s="18" t="s">
        <v>362</v>
      </c>
      <c r="F333" s="18"/>
      <c r="G333" s="18">
        <v>10000000</v>
      </c>
      <c r="H333" s="18">
        <v>1500000</v>
      </c>
      <c r="I333" s="51">
        <v>17760000</v>
      </c>
      <c r="J333" s="18">
        <f>52720.8+13540626.31</f>
        <v>13593347.110000001</v>
      </c>
      <c r="K333" s="18">
        <f t="shared" si="18"/>
        <v>4166652.8899999987</v>
      </c>
      <c r="L333" s="68" t="s">
        <v>653</v>
      </c>
    </row>
    <row r="334" spans="1:114" s="9" customFormat="1" ht="8.25" x14ac:dyDescent="0.15">
      <c r="A334" s="18" t="s">
        <v>5</v>
      </c>
      <c r="B334" s="18" t="s">
        <v>371</v>
      </c>
      <c r="C334" s="18" t="s">
        <v>64</v>
      </c>
      <c r="D334" s="18" t="s">
        <v>373</v>
      </c>
      <c r="E334" s="18" t="s">
        <v>362</v>
      </c>
      <c r="F334" s="18"/>
      <c r="G334" s="18">
        <v>3000000</v>
      </c>
      <c r="H334" s="18">
        <v>1088552.9099999999</v>
      </c>
      <c r="I334" s="51">
        <v>10933447.09</v>
      </c>
      <c r="J334" s="18">
        <f>5479379.4+5453224.47</f>
        <v>10932603.870000001</v>
      </c>
      <c r="K334" s="18">
        <f t="shared" si="18"/>
        <v>843.21999999880791</v>
      </c>
      <c r="L334" s="66" t="s">
        <v>654</v>
      </c>
    </row>
    <row r="335" spans="1:114" s="9" customFormat="1" ht="8.65" customHeight="1" x14ac:dyDescent="0.15">
      <c r="A335" s="18" t="s">
        <v>5</v>
      </c>
      <c r="B335" s="18" t="s">
        <v>371</v>
      </c>
      <c r="C335" s="18" t="s">
        <v>64</v>
      </c>
      <c r="D335" s="18" t="s">
        <v>374</v>
      </c>
      <c r="E335" s="18" t="s">
        <v>362</v>
      </c>
      <c r="F335" s="18"/>
      <c r="G335" s="18"/>
      <c r="H335" s="18">
        <v>13000000</v>
      </c>
      <c r="I335" s="51">
        <v>11524000</v>
      </c>
      <c r="J335" s="18"/>
      <c r="K335" s="18">
        <f t="shared" si="18"/>
        <v>11524000</v>
      </c>
      <c r="L335" s="162" t="s">
        <v>420</v>
      </c>
    </row>
    <row r="336" spans="1:114" s="9" customFormat="1" ht="8.65" customHeight="1" x14ac:dyDescent="0.15">
      <c r="A336" s="18" t="s">
        <v>5</v>
      </c>
      <c r="B336" s="18" t="s">
        <v>371</v>
      </c>
      <c r="C336" s="18" t="s">
        <v>64</v>
      </c>
      <c r="D336" s="18" t="s">
        <v>375</v>
      </c>
      <c r="E336" s="18" t="s">
        <v>362</v>
      </c>
      <c r="F336" s="18"/>
      <c r="G336" s="18">
        <v>5000000</v>
      </c>
      <c r="H336" s="18"/>
      <c r="I336" s="51">
        <v>10150000</v>
      </c>
      <c r="J336" s="18">
        <f>2009931+8092319.17</f>
        <v>10102250.17</v>
      </c>
      <c r="K336" s="18">
        <f t="shared" si="18"/>
        <v>47749.830000000075</v>
      </c>
      <c r="L336" s="162" t="s">
        <v>543</v>
      </c>
    </row>
    <row r="337" spans="1:114" s="9" customFormat="1" ht="8.65" customHeight="1" x14ac:dyDescent="0.15">
      <c r="A337" s="18" t="s">
        <v>5</v>
      </c>
      <c r="B337" s="18" t="s">
        <v>371</v>
      </c>
      <c r="C337" s="18" t="s">
        <v>64</v>
      </c>
      <c r="D337" s="18" t="s">
        <v>376</v>
      </c>
      <c r="E337" s="18" t="s">
        <v>362</v>
      </c>
      <c r="F337" s="18"/>
      <c r="G337" s="18"/>
      <c r="H337" s="18">
        <v>5000000</v>
      </c>
      <c r="I337" s="51">
        <f>14364000-H337</f>
        <v>9364000</v>
      </c>
      <c r="J337" s="18">
        <v>7308840</v>
      </c>
      <c r="K337" s="18">
        <f t="shared" si="18"/>
        <v>2055160</v>
      </c>
      <c r="L337" s="162" t="s">
        <v>421</v>
      </c>
    </row>
    <row r="338" spans="1:114" s="9" customFormat="1" ht="8.65" customHeight="1" x14ac:dyDescent="0.15">
      <c r="A338" s="18" t="s">
        <v>5</v>
      </c>
      <c r="B338" s="18" t="s">
        <v>371</v>
      </c>
      <c r="C338" s="18" t="s">
        <v>64</v>
      </c>
      <c r="D338" s="18" t="s">
        <v>377</v>
      </c>
      <c r="E338" s="18" t="s">
        <v>362</v>
      </c>
      <c r="F338" s="18"/>
      <c r="G338" s="18"/>
      <c r="H338" s="18">
        <v>5000000</v>
      </c>
      <c r="I338" s="51">
        <f>14364000-H338</f>
        <v>9364000</v>
      </c>
      <c r="J338" s="18">
        <f>386460+4155407.7+4723568.76</f>
        <v>9265436.4600000009</v>
      </c>
      <c r="K338" s="18">
        <f t="shared" si="18"/>
        <v>98563.539999999106</v>
      </c>
      <c r="L338" s="162" t="s">
        <v>427</v>
      </c>
    </row>
    <row r="339" spans="1:114" s="9" customFormat="1" ht="8.65" customHeight="1" x14ac:dyDescent="0.15">
      <c r="A339" s="18" t="s">
        <v>5</v>
      </c>
      <c r="B339" s="18" t="s">
        <v>371</v>
      </c>
      <c r="C339" s="18" t="s">
        <v>64</v>
      </c>
      <c r="D339" s="18" t="s">
        <v>378</v>
      </c>
      <c r="E339" s="18" t="s">
        <v>362</v>
      </c>
      <c r="F339" s="18"/>
      <c r="G339" s="18">
        <v>5000000</v>
      </c>
      <c r="H339" s="18">
        <v>483592</v>
      </c>
      <c r="I339" s="51">
        <f>5000000+G339-H339</f>
        <v>9516408</v>
      </c>
      <c r="J339" s="18">
        <v>9516408</v>
      </c>
      <c r="K339" s="18">
        <f t="shared" si="18"/>
        <v>0</v>
      </c>
      <c r="L339" s="162" t="s">
        <v>491</v>
      </c>
    </row>
    <row r="340" spans="1:114" s="9" customFormat="1" ht="8.65" customHeight="1" x14ac:dyDescent="0.15">
      <c r="A340" s="18" t="s">
        <v>5</v>
      </c>
      <c r="B340" s="18" t="s">
        <v>371</v>
      </c>
      <c r="C340" s="18" t="s">
        <v>64</v>
      </c>
      <c r="D340" s="18" t="s">
        <v>379</v>
      </c>
      <c r="E340" s="18" t="s">
        <v>362</v>
      </c>
      <c r="F340" s="18"/>
      <c r="G340" s="18"/>
      <c r="H340" s="18">
        <v>80860</v>
      </c>
      <c r="I340" s="51">
        <v>4659140</v>
      </c>
      <c r="J340" s="18">
        <v>4400880</v>
      </c>
      <c r="K340" s="18">
        <f t="shared" si="18"/>
        <v>258260</v>
      </c>
      <c r="L340" s="162" t="s">
        <v>422</v>
      </c>
    </row>
    <row r="341" spans="1:114" s="9" customFormat="1" ht="8.65" customHeight="1" x14ac:dyDescent="0.15">
      <c r="A341" s="18" t="s">
        <v>5</v>
      </c>
      <c r="B341" s="18" t="s">
        <v>103</v>
      </c>
      <c r="C341" s="18" t="s">
        <v>64</v>
      </c>
      <c r="D341" s="18" t="s">
        <v>380</v>
      </c>
      <c r="E341" s="18" t="s">
        <v>362</v>
      </c>
      <c r="F341" s="18"/>
      <c r="G341" s="18">
        <v>3153004.91</v>
      </c>
      <c r="H341" s="18"/>
      <c r="I341" s="51">
        <f>4000000+G341</f>
        <v>7153004.9100000001</v>
      </c>
      <c r="J341" s="18"/>
      <c r="K341" s="18">
        <f t="shared" si="18"/>
        <v>7153004.9100000001</v>
      </c>
      <c r="L341" s="162" t="s">
        <v>492</v>
      </c>
    </row>
    <row r="342" spans="1:114" s="9" customFormat="1" ht="8.65" customHeight="1" x14ac:dyDescent="0.15">
      <c r="A342" s="18" t="s">
        <v>5</v>
      </c>
      <c r="B342" s="18" t="s">
        <v>131</v>
      </c>
      <c r="C342" s="18" t="s">
        <v>92</v>
      </c>
      <c r="D342" s="18" t="s">
        <v>132</v>
      </c>
      <c r="E342" s="18" t="s">
        <v>362</v>
      </c>
      <c r="F342" s="18"/>
      <c r="G342" s="51"/>
      <c r="H342" s="18"/>
      <c r="I342" s="51">
        <v>1</v>
      </c>
      <c r="J342" s="18"/>
      <c r="K342" s="18">
        <f>+I342</f>
        <v>1</v>
      </c>
      <c r="L342" s="162" t="s">
        <v>551</v>
      </c>
    </row>
    <row r="343" spans="1:114" s="9" customFormat="1" ht="8.65" customHeight="1" x14ac:dyDescent="0.15">
      <c r="A343" s="18" t="s">
        <v>5</v>
      </c>
      <c r="B343" s="18" t="s">
        <v>27</v>
      </c>
      <c r="C343" s="18" t="s">
        <v>28</v>
      </c>
      <c r="D343" s="18" t="s">
        <v>381</v>
      </c>
      <c r="E343" s="18" t="s">
        <v>362</v>
      </c>
      <c r="F343" s="18"/>
      <c r="G343" s="18"/>
      <c r="H343" s="18"/>
      <c r="I343" s="51">
        <v>6975000</v>
      </c>
      <c r="J343" s="18">
        <f>2881517+4028653.18</f>
        <v>6910170.1799999997</v>
      </c>
      <c r="K343" s="18">
        <f>+I343-J343</f>
        <v>64829.820000000298</v>
      </c>
      <c r="L343" s="162" t="s">
        <v>655</v>
      </c>
    </row>
    <row r="344" spans="1:114" s="120" customFormat="1" ht="10.15" customHeight="1" x14ac:dyDescent="0.15">
      <c r="A344" s="257" t="s">
        <v>382</v>
      </c>
      <c r="B344" s="257"/>
      <c r="C344" s="257"/>
      <c r="D344" s="257"/>
      <c r="E344" s="257"/>
      <c r="F344" s="257"/>
      <c r="G344" s="92"/>
      <c r="H344" s="93"/>
      <c r="I344" s="94">
        <f>SUM(I329:I343)</f>
        <v>1303267157</v>
      </c>
      <c r="J344" s="94">
        <f>SUM(J329:J343)</f>
        <v>1209984477.8699999</v>
      </c>
      <c r="K344" s="94">
        <f>SUM(K329:K343)</f>
        <v>93282679.129999965</v>
      </c>
      <c r="L344" s="163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</row>
    <row r="345" spans="1:114" s="3" customFormat="1" ht="3" customHeight="1" x14ac:dyDescent="0.2">
      <c r="A345" s="13"/>
      <c r="B345" s="13"/>
      <c r="C345" s="13"/>
      <c r="D345" s="13"/>
      <c r="E345" s="13"/>
      <c r="F345" s="11"/>
      <c r="G345" s="5"/>
      <c r="H345" s="5"/>
      <c r="I345" s="71"/>
      <c r="J345" s="1"/>
      <c r="K345" s="15"/>
      <c r="L345" s="160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</row>
    <row r="346" spans="1:114" s="3" customFormat="1" ht="11.65" customHeight="1" x14ac:dyDescent="0.15">
      <c r="A346" s="268" t="s">
        <v>383</v>
      </c>
      <c r="B346" s="268"/>
      <c r="C346" s="268"/>
      <c r="D346" s="268"/>
      <c r="E346" s="14"/>
      <c r="F346" s="21"/>
      <c r="G346" s="33"/>
      <c r="H346" s="7"/>
      <c r="I346" s="72">
        <f>+I17+I19+I21+I24+I26+I28+I30+I32+I34+I37+I43+I45+I51+I60+I63+I65+I67+I81+I86+I90+I92+I94+I99+I101+I115+I117+I128+I136+I144+I159+I185+I199+I219+I230+I242+I261+I266+I269+I277+I279+I283+I293+I296+I304+I307+I310+I312+I325+I328+I344</f>
        <v>4303027427.2099991</v>
      </c>
      <c r="J346" s="6"/>
      <c r="K346" s="19"/>
      <c r="L346" s="16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</row>
    <row r="347" spans="1:114" s="9" customFormat="1" ht="22.9" customHeight="1" x14ac:dyDescent="0.15">
      <c r="F347" s="152"/>
      <c r="G347" s="153"/>
      <c r="H347" s="153"/>
      <c r="I347" s="154"/>
      <c r="J347" s="153"/>
      <c r="K347" s="152"/>
      <c r="L347" s="170"/>
    </row>
    <row r="348" spans="1:114" s="30" customFormat="1" x14ac:dyDescent="0.2">
      <c r="F348" s="155"/>
      <c r="G348" s="153"/>
      <c r="H348" s="156"/>
      <c r="I348" s="157"/>
      <c r="J348" s="156"/>
      <c r="K348" s="155"/>
      <c r="L348" s="171"/>
    </row>
    <row r="349" spans="1:114" s="30" customFormat="1" x14ac:dyDescent="0.2">
      <c r="F349" s="155"/>
      <c r="G349" s="156"/>
      <c r="H349" s="156"/>
      <c r="I349" s="157"/>
      <c r="J349" s="156"/>
      <c r="K349" s="155"/>
      <c r="L349" s="171"/>
    </row>
    <row r="350" spans="1:114" s="30" customFormat="1" x14ac:dyDescent="0.2">
      <c r="F350" s="155"/>
      <c r="G350" s="156"/>
      <c r="H350" s="156"/>
      <c r="I350" s="157"/>
      <c r="J350" s="156"/>
      <c r="K350" s="155"/>
      <c r="L350" s="171"/>
    </row>
    <row r="351" spans="1:114" s="30" customFormat="1" x14ac:dyDescent="0.2">
      <c r="F351" s="155"/>
      <c r="G351" s="156"/>
      <c r="H351" s="156"/>
      <c r="I351" s="157"/>
      <c r="J351" s="156"/>
      <c r="K351" s="155"/>
      <c r="L351" s="171"/>
    </row>
    <row r="352" spans="1:114" s="30" customFormat="1" x14ac:dyDescent="0.2">
      <c r="F352" s="155"/>
      <c r="G352" s="156"/>
      <c r="H352" s="156"/>
      <c r="I352" s="157"/>
      <c r="J352" s="156"/>
      <c r="K352" s="155"/>
      <c r="L352" s="171"/>
    </row>
    <row r="353" spans="3:12" s="30" customFormat="1" x14ac:dyDescent="0.2">
      <c r="F353" s="155"/>
      <c r="G353" s="156"/>
      <c r="H353" s="156"/>
      <c r="I353" s="157"/>
      <c r="J353" s="156"/>
      <c r="K353" s="155"/>
      <c r="L353" s="171"/>
    </row>
    <row r="354" spans="3:12" s="30" customFormat="1" x14ac:dyDescent="0.2">
      <c r="F354" s="155"/>
      <c r="G354" s="156"/>
      <c r="H354" s="156"/>
      <c r="I354" s="157"/>
      <c r="J354" s="156"/>
      <c r="K354" s="155"/>
      <c r="L354" s="171"/>
    </row>
    <row r="355" spans="3:12" s="30" customFormat="1" x14ac:dyDescent="0.2">
      <c r="F355" s="155"/>
      <c r="G355" s="156"/>
      <c r="H355" s="156"/>
      <c r="I355" s="157"/>
      <c r="J355" s="156"/>
      <c r="K355" s="155"/>
      <c r="L355" s="171"/>
    </row>
    <row r="356" spans="3:12" s="30" customFormat="1" x14ac:dyDescent="0.2">
      <c r="F356" s="155"/>
      <c r="G356" s="156"/>
      <c r="H356" s="156"/>
      <c r="I356" s="157"/>
      <c r="J356" s="156"/>
      <c r="K356" s="155"/>
      <c r="L356" s="171"/>
    </row>
    <row r="357" spans="3:12" s="30" customFormat="1" x14ac:dyDescent="0.2">
      <c r="F357" s="155"/>
      <c r="G357" s="156"/>
      <c r="H357" s="156"/>
      <c r="I357" s="157"/>
      <c r="J357" s="156"/>
      <c r="K357" s="155"/>
      <c r="L357" s="171"/>
    </row>
    <row r="358" spans="3:12" s="30" customFormat="1" x14ac:dyDescent="0.2">
      <c r="F358" s="155"/>
      <c r="G358" s="156"/>
      <c r="H358" s="156"/>
      <c r="I358" s="157"/>
      <c r="J358" s="156"/>
      <c r="K358" s="155"/>
      <c r="L358" s="171"/>
    </row>
    <row r="359" spans="3:12" s="30" customFormat="1" x14ac:dyDescent="0.2">
      <c r="F359" s="155"/>
      <c r="G359" s="156"/>
      <c r="H359" s="156"/>
      <c r="I359" s="157"/>
      <c r="J359" s="156"/>
      <c r="K359" s="155"/>
      <c r="L359" s="171"/>
    </row>
    <row r="360" spans="3:12" s="30" customFormat="1" x14ac:dyDescent="0.2">
      <c r="F360" s="155"/>
      <c r="G360" s="156"/>
      <c r="H360" s="156"/>
      <c r="I360" s="157"/>
      <c r="J360" s="156"/>
      <c r="K360" s="155"/>
      <c r="L360" s="171"/>
    </row>
    <row r="361" spans="3:12" s="30" customFormat="1" x14ac:dyDescent="0.2">
      <c r="F361" s="155"/>
      <c r="G361" s="156"/>
      <c r="H361" s="156"/>
      <c r="I361" s="157"/>
      <c r="J361" s="156"/>
      <c r="K361" s="155"/>
      <c r="L361" s="171"/>
    </row>
    <row r="362" spans="3:12" s="30" customFormat="1" x14ac:dyDescent="0.2">
      <c r="C362" s="158"/>
      <c r="D362" s="159"/>
      <c r="E362" s="158"/>
      <c r="F362" s="155"/>
      <c r="G362" s="155"/>
      <c r="H362" s="155"/>
      <c r="I362" s="157"/>
      <c r="J362" s="155"/>
      <c r="K362" s="155"/>
      <c r="L362" s="171"/>
    </row>
    <row r="363" spans="3:12" s="30" customFormat="1" x14ac:dyDescent="0.2">
      <c r="C363" s="158"/>
      <c r="D363" s="159"/>
      <c r="E363" s="158"/>
      <c r="F363" s="155"/>
      <c r="G363" s="155"/>
      <c r="H363" s="155"/>
      <c r="I363" s="157"/>
      <c r="J363" s="155"/>
      <c r="K363" s="155"/>
      <c r="L363" s="171"/>
    </row>
    <row r="364" spans="3:12" s="30" customFormat="1" x14ac:dyDescent="0.2">
      <c r="C364" s="158"/>
      <c r="D364" s="159"/>
      <c r="E364" s="158"/>
      <c r="F364" s="155"/>
      <c r="G364" s="155"/>
      <c r="H364" s="155"/>
      <c r="I364" s="157"/>
      <c r="J364" s="155"/>
      <c r="K364" s="155"/>
      <c r="L364" s="171"/>
    </row>
    <row r="365" spans="3:12" s="30" customFormat="1" x14ac:dyDescent="0.2">
      <c r="C365" s="158"/>
      <c r="D365" s="159"/>
      <c r="E365" s="158"/>
      <c r="F365" s="155"/>
      <c r="G365" s="155"/>
      <c r="H365" s="155"/>
      <c r="I365" s="157"/>
      <c r="J365" s="155"/>
      <c r="K365" s="155"/>
      <c r="L365" s="171"/>
    </row>
    <row r="366" spans="3:12" s="30" customFormat="1" x14ac:dyDescent="0.2">
      <c r="C366" s="158"/>
      <c r="D366" s="159"/>
      <c r="E366" s="158"/>
      <c r="F366" s="155"/>
      <c r="G366" s="155"/>
      <c r="H366" s="155"/>
      <c r="I366" s="157"/>
      <c r="J366" s="155"/>
      <c r="K366" s="155"/>
      <c r="L366" s="171"/>
    </row>
    <row r="367" spans="3:12" s="30" customFormat="1" x14ac:dyDescent="0.2">
      <c r="C367" s="158"/>
      <c r="D367" s="159"/>
      <c r="E367" s="158"/>
      <c r="F367" s="155"/>
      <c r="G367" s="155"/>
      <c r="H367" s="155"/>
      <c r="I367" s="157"/>
      <c r="J367" s="155"/>
      <c r="K367" s="155"/>
      <c r="L367" s="171"/>
    </row>
    <row r="368" spans="3:12" s="30" customFormat="1" x14ac:dyDescent="0.2">
      <c r="C368" s="158"/>
      <c r="D368" s="159"/>
      <c r="E368" s="158"/>
      <c r="F368" s="155"/>
      <c r="G368" s="155"/>
      <c r="H368" s="155"/>
      <c r="I368" s="157"/>
      <c r="J368" s="155"/>
      <c r="K368" s="155"/>
      <c r="L368" s="171"/>
    </row>
    <row r="369" spans="3:12" s="30" customFormat="1" x14ac:dyDescent="0.2">
      <c r="C369" s="158"/>
      <c r="D369" s="159"/>
      <c r="E369" s="158"/>
      <c r="F369" s="155"/>
      <c r="G369" s="155"/>
      <c r="H369" s="155"/>
      <c r="I369" s="157"/>
      <c r="J369" s="155"/>
      <c r="K369" s="155"/>
      <c r="L369" s="171"/>
    </row>
    <row r="370" spans="3:12" s="30" customFormat="1" x14ac:dyDescent="0.2">
      <c r="C370" s="158"/>
      <c r="D370" s="159"/>
      <c r="E370" s="158"/>
      <c r="F370" s="155"/>
      <c r="G370" s="155"/>
      <c r="H370" s="155"/>
      <c r="I370" s="157"/>
      <c r="J370" s="155"/>
      <c r="K370" s="155"/>
      <c r="L370" s="171"/>
    </row>
    <row r="371" spans="3:12" s="30" customFormat="1" x14ac:dyDescent="0.2">
      <c r="C371" s="158"/>
      <c r="D371" s="159"/>
      <c r="E371" s="158"/>
      <c r="F371" s="155"/>
      <c r="G371" s="155"/>
      <c r="H371" s="155"/>
      <c r="I371" s="157"/>
      <c r="J371" s="155"/>
      <c r="K371" s="155"/>
      <c r="L371" s="171"/>
    </row>
    <row r="372" spans="3:12" s="30" customFormat="1" x14ac:dyDescent="0.2">
      <c r="C372" s="158"/>
      <c r="D372" s="159"/>
      <c r="E372" s="158"/>
      <c r="F372" s="155"/>
      <c r="G372" s="155"/>
      <c r="H372" s="155"/>
      <c r="I372" s="157"/>
      <c r="J372" s="155"/>
      <c r="K372" s="155"/>
      <c r="L372" s="171"/>
    </row>
    <row r="373" spans="3:12" s="30" customFormat="1" x14ac:dyDescent="0.2">
      <c r="C373" s="158"/>
      <c r="D373" s="159"/>
      <c r="E373" s="158"/>
      <c r="F373" s="155"/>
      <c r="G373" s="155"/>
      <c r="H373" s="155"/>
      <c r="I373" s="157"/>
      <c r="J373" s="155"/>
      <c r="K373" s="155"/>
      <c r="L373" s="171"/>
    </row>
    <row r="374" spans="3:12" s="30" customFormat="1" x14ac:dyDescent="0.2">
      <c r="C374" s="158"/>
      <c r="D374" s="159"/>
      <c r="E374" s="158"/>
      <c r="F374" s="155"/>
      <c r="G374" s="155"/>
      <c r="H374" s="155"/>
      <c r="I374" s="157"/>
      <c r="J374" s="155"/>
      <c r="K374" s="155"/>
      <c r="L374" s="171"/>
    </row>
    <row r="375" spans="3:12" s="30" customFormat="1" x14ac:dyDescent="0.2">
      <c r="C375" s="158"/>
      <c r="D375" s="159"/>
      <c r="E375" s="158"/>
      <c r="F375" s="155"/>
      <c r="G375" s="155"/>
      <c r="H375" s="155"/>
      <c r="I375" s="157"/>
      <c r="J375" s="155"/>
      <c r="K375" s="155"/>
      <c r="L375" s="171"/>
    </row>
    <row r="376" spans="3:12" s="30" customFormat="1" x14ac:dyDescent="0.2">
      <c r="C376" s="158"/>
      <c r="D376" s="159"/>
      <c r="E376" s="158"/>
      <c r="F376" s="155"/>
      <c r="G376" s="155"/>
      <c r="H376" s="155"/>
      <c r="I376" s="157"/>
      <c r="J376" s="155"/>
      <c r="K376" s="155"/>
      <c r="L376" s="171"/>
    </row>
    <row r="377" spans="3:12" s="30" customFormat="1" x14ac:dyDescent="0.2">
      <c r="C377" s="158"/>
      <c r="D377" s="159"/>
      <c r="E377" s="158"/>
      <c r="F377" s="155"/>
      <c r="G377" s="155"/>
      <c r="H377" s="155"/>
      <c r="I377" s="157"/>
      <c r="J377" s="155"/>
      <c r="K377" s="155"/>
      <c r="L377" s="171"/>
    </row>
    <row r="378" spans="3:12" s="30" customFormat="1" x14ac:dyDescent="0.2">
      <c r="C378" s="158"/>
      <c r="D378" s="159"/>
      <c r="E378" s="158"/>
      <c r="F378" s="155"/>
      <c r="G378" s="155"/>
      <c r="H378" s="155"/>
      <c r="I378" s="157"/>
      <c r="J378" s="155"/>
      <c r="K378" s="155"/>
      <c r="L378" s="171"/>
    </row>
    <row r="379" spans="3:12" s="30" customFormat="1" x14ac:dyDescent="0.2">
      <c r="C379" s="158"/>
      <c r="D379" s="159"/>
      <c r="E379" s="158"/>
      <c r="F379" s="155"/>
      <c r="G379" s="155"/>
      <c r="H379" s="155"/>
      <c r="I379" s="157"/>
      <c r="J379" s="155"/>
      <c r="K379" s="155"/>
      <c r="L379" s="171"/>
    </row>
    <row r="380" spans="3:12" s="30" customFormat="1" x14ac:dyDescent="0.2">
      <c r="C380" s="158"/>
      <c r="D380" s="159"/>
      <c r="E380" s="158"/>
      <c r="F380" s="155"/>
      <c r="G380" s="155"/>
      <c r="H380" s="155"/>
      <c r="I380" s="157"/>
      <c r="J380" s="155"/>
      <c r="K380" s="155"/>
      <c r="L380" s="171"/>
    </row>
    <row r="381" spans="3:12" s="30" customFormat="1" x14ac:dyDescent="0.2">
      <c r="C381" s="158"/>
      <c r="D381" s="159"/>
      <c r="E381" s="158"/>
      <c r="F381" s="155"/>
      <c r="G381" s="155"/>
      <c r="H381" s="155"/>
      <c r="I381" s="157"/>
      <c r="J381" s="155"/>
      <c r="K381" s="155"/>
      <c r="L381" s="171"/>
    </row>
    <row r="382" spans="3:12" s="30" customFormat="1" x14ac:dyDescent="0.2">
      <c r="C382" s="158"/>
      <c r="D382" s="159"/>
      <c r="E382" s="158"/>
      <c r="F382" s="155"/>
      <c r="G382" s="155"/>
      <c r="H382" s="155"/>
      <c r="I382" s="157"/>
      <c r="J382" s="155"/>
      <c r="K382" s="155"/>
      <c r="L382" s="171"/>
    </row>
    <row r="383" spans="3:12" s="30" customFormat="1" x14ac:dyDescent="0.2">
      <c r="C383" s="158"/>
      <c r="D383" s="159"/>
      <c r="E383" s="158"/>
      <c r="F383" s="155"/>
      <c r="G383" s="155"/>
      <c r="H383" s="155"/>
      <c r="I383" s="157"/>
      <c r="J383" s="155"/>
      <c r="K383" s="155"/>
      <c r="L383" s="171"/>
    </row>
    <row r="384" spans="3:12" s="30" customFormat="1" x14ac:dyDescent="0.2">
      <c r="C384" s="158"/>
      <c r="D384" s="159"/>
      <c r="E384" s="158"/>
      <c r="F384" s="155"/>
      <c r="G384" s="155"/>
      <c r="H384" s="155"/>
      <c r="I384" s="157"/>
      <c r="J384" s="155"/>
      <c r="K384" s="155"/>
      <c r="L384" s="171"/>
    </row>
    <row r="385" spans="3:12" s="30" customFormat="1" x14ac:dyDescent="0.2">
      <c r="C385" s="158"/>
      <c r="D385" s="159"/>
      <c r="E385" s="158"/>
      <c r="F385" s="155"/>
      <c r="G385" s="155"/>
      <c r="H385" s="155"/>
      <c r="I385" s="157"/>
      <c r="J385" s="155"/>
      <c r="K385" s="155"/>
      <c r="L385" s="171"/>
    </row>
    <row r="386" spans="3:12" s="30" customFormat="1" x14ac:dyDescent="0.2">
      <c r="C386" s="158"/>
      <c r="D386" s="159"/>
      <c r="E386" s="158"/>
      <c r="F386" s="155"/>
      <c r="G386" s="155"/>
      <c r="H386" s="155"/>
      <c r="I386" s="157"/>
      <c r="J386" s="155"/>
      <c r="K386" s="155"/>
      <c r="L386" s="171"/>
    </row>
    <row r="387" spans="3:12" s="30" customFormat="1" x14ac:dyDescent="0.2">
      <c r="C387" s="158"/>
      <c r="D387" s="159"/>
      <c r="E387" s="158"/>
      <c r="F387" s="155"/>
      <c r="G387" s="155"/>
      <c r="H387" s="155"/>
      <c r="I387" s="157"/>
      <c r="J387" s="155"/>
      <c r="K387" s="155"/>
      <c r="L387" s="171"/>
    </row>
    <row r="388" spans="3:12" s="30" customFormat="1" x14ac:dyDescent="0.2">
      <c r="C388" s="158"/>
      <c r="D388" s="159"/>
      <c r="E388" s="158"/>
      <c r="F388" s="155"/>
      <c r="G388" s="155"/>
      <c r="H388" s="155"/>
      <c r="I388" s="157"/>
      <c r="J388" s="155"/>
      <c r="K388" s="155"/>
      <c r="L388" s="171"/>
    </row>
    <row r="389" spans="3:12" s="30" customFormat="1" x14ac:dyDescent="0.2">
      <c r="C389" s="158"/>
      <c r="D389" s="159"/>
      <c r="E389" s="158"/>
      <c r="F389" s="155"/>
      <c r="G389" s="155"/>
      <c r="H389" s="155"/>
      <c r="I389" s="157"/>
      <c r="J389" s="155"/>
      <c r="K389" s="155"/>
      <c r="L389" s="171"/>
    </row>
    <row r="390" spans="3:12" s="30" customFormat="1" x14ac:dyDescent="0.2">
      <c r="C390" s="158"/>
      <c r="D390" s="159"/>
      <c r="E390" s="158"/>
      <c r="F390" s="155"/>
      <c r="G390" s="155"/>
      <c r="H390" s="155"/>
      <c r="I390" s="157"/>
      <c r="J390" s="155"/>
      <c r="K390" s="155"/>
      <c r="L390" s="171"/>
    </row>
    <row r="391" spans="3:12" s="30" customFormat="1" x14ac:dyDescent="0.2">
      <c r="C391" s="158"/>
      <c r="D391" s="159"/>
      <c r="E391" s="158"/>
      <c r="F391" s="155"/>
      <c r="G391" s="155"/>
      <c r="H391" s="155"/>
      <c r="I391" s="157"/>
      <c r="J391" s="155"/>
      <c r="K391" s="155"/>
      <c r="L391" s="171"/>
    </row>
    <row r="392" spans="3:12" s="30" customFormat="1" x14ac:dyDescent="0.2">
      <c r="C392" s="158"/>
      <c r="D392" s="159"/>
      <c r="E392" s="158"/>
      <c r="F392" s="155"/>
      <c r="G392" s="155"/>
      <c r="H392" s="155"/>
      <c r="I392" s="157"/>
      <c r="J392" s="155"/>
      <c r="K392" s="155"/>
      <c r="L392" s="171"/>
    </row>
    <row r="393" spans="3:12" s="30" customFormat="1" x14ac:dyDescent="0.2">
      <c r="C393" s="158"/>
      <c r="D393" s="159"/>
      <c r="E393" s="158"/>
      <c r="F393" s="155"/>
      <c r="G393" s="155"/>
      <c r="H393" s="155"/>
      <c r="I393" s="157"/>
      <c r="J393" s="155"/>
      <c r="K393" s="155"/>
      <c r="L393" s="171"/>
    </row>
    <row r="394" spans="3:12" s="30" customFormat="1" x14ac:dyDescent="0.2">
      <c r="C394" s="158"/>
      <c r="D394" s="159"/>
      <c r="E394" s="158"/>
      <c r="F394" s="155"/>
      <c r="G394" s="155"/>
      <c r="H394" s="155"/>
      <c r="I394" s="157"/>
      <c r="J394" s="155"/>
      <c r="K394" s="155"/>
      <c r="L394" s="171"/>
    </row>
    <row r="395" spans="3:12" s="30" customFormat="1" x14ac:dyDescent="0.2">
      <c r="C395" s="158"/>
      <c r="D395" s="159"/>
      <c r="E395" s="158"/>
      <c r="F395" s="155"/>
      <c r="G395" s="155"/>
      <c r="H395" s="155"/>
      <c r="I395" s="157"/>
      <c r="J395" s="155"/>
      <c r="K395" s="155"/>
      <c r="L395" s="171"/>
    </row>
    <row r="396" spans="3:12" s="30" customFormat="1" x14ac:dyDescent="0.2">
      <c r="C396" s="158"/>
      <c r="D396" s="159"/>
      <c r="E396" s="158"/>
      <c r="F396" s="155"/>
      <c r="G396" s="155"/>
      <c r="H396" s="155"/>
      <c r="I396" s="157"/>
      <c r="J396" s="155"/>
      <c r="K396" s="155"/>
      <c r="L396" s="171"/>
    </row>
    <row r="397" spans="3:12" s="30" customFormat="1" x14ac:dyDescent="0.2">
      <c r="C397" s="158"/>
      <c r="D397" s="159"/>
      <c r="E397" s="158"/>
      <c r="F397" s="155"/>
      <c r="G397" s="155"/>
      <c r="H397" s="155"/>
      <c r="I397" s="157"/>
      <c r="J397" s="155"/>
      <c r="K397" s="155"/>
      <c r="L397" s="171"/>
    </row>
    <row r="398" spans="3:12" s="30" customFormat="1" x14ac:dyDescent="0.2">
      <c r="C398" s="158"/>
      <c r="D398" s="159"/>
      <c r="E398" s="158"/>
      <c r="F398" s="155"/>
      <c r="G398" s="155"/>
      <c r="H398" s="155"/>
      <c r="I398" s="157"/>
      <c r="J398" s="155"/>
      <c r="K398" s="155"/>
      <c r="L398" s="171"/>
    </row>
    <row r="399" spans="3:12" s="30" customFormat="1" x14ac:dyDescent="0.2">
      <c r="C399" s="158"/>
      <c r="D399" s="159"/>
      <c r="E399" s="158"/>
      <c r="F399" s="155"/>
      <c r="G399" s="155"/>
      <c r="H399" s="155"/>
      <c r="I399" s="157"/>
      <c r="J399" s="155"/>
      <c r="K399" s="155"/>
      <c r="L399" s="171"/>
    </row>
    <row r="400" spans="3:12" s="30" customFormat="1" x14ac:dyDescent="0.2">
      <c r="C400" s="158"/>
      <c r="D400" s="159"/>
      <c r="E400" s="158"/>
      <c r="F400" s="155"/>
      <c r="G400" s="155"/>
      <c r="H400" s="155"/>
      <c r="I400" s="157"/>
      <c r="J400" s="155"/>
      <c r="K400" s="155"/>
      <c r="L400" s="171"/>
    </row>
    <row r="401" spans="3:12" s="30" customFormat="1" x14ac:dyDescent="0.2">
      <c r="C401" s="158"/>
      <c r="D401" s="159"/>
      <c r="E401" s="158"/>
      <c r="F401" s="155"/>
      <c r="G401" s="155"/>
      <c r="H401" s="155"/>
      <c r="I401" s="157"/>
      <c r="J401" s="155"/>
      <c r="K401" s="155"/>
      <c r="L401" s="171"/>
    </row>
    <row r="402" spans="3:12" s="30" customFormat="1" x14ac:dyDescent="0.2">
      <c r="C402" s="158"/>
      <c r="D402" s="159"/>
      <c r="E402" s="158"/>
      <c r="F402" s="155"/>
      <c r="G402" s="155"/>
      <c r="H402" s="155"/>
      <c r="I402" s="157"/>
      <c r="J402" s="155"/>
      <c r="K402" s="155"/>
      <c r="L402" s="171"/>
    </row>
    <row r="403" spans="3:12" s="30" customFormat="1" x14ac:dyDescent="0.2">
      <c r="C403" s="158"/>
      <c r="D403" s="159"/>
      <c r="E403" s="158"/>
      <c r="F403" s="155"/>
      <c r="G403" s="155"/>
      <c r="H403" s="155"/>
      <c r="I403" s="157"/>
      <c r="J403" s="155"/>
      <c r="K403" s="155"/>
      <c r="L403" s="171"/>
    </row>
    <row r="404" spans="3:12" s="30" customFormat="1" x14ac:dyDescent="0.2">
      <c r="C404" s="158"/>
      <c r="D404" s="159"/>
      <c r="E404" s="158"/>
      <c r="F404" s="155"/>
      <c r="G404" s="155"/>
      <c r="H404" s="155"/>
      <c r="I404" s="157"/>
      <c r="J404" s="155"/>
      <c r="K404" s="155"/>
      <c r="L404" s="171"/>
    </row>
    <row r="405" spans="3:12" s="30" customFormat="1" x14ac:dyDescent="0.2">
      <c r="C405" s="158"/>
      <c r="D405" s="159"/>
      <c r="E405" s="158"/>
      <c r="F405" s="155"/>
      <c r="G405" s="155"/>
      <c r="H405" s="155"/>
      <c r="I405" s="157"/>
      <c r="J405" s="155"/>
      <c r="K405" s="155"/>
      <c r="L405" s="171"/>
    </row>
    <row r="406" spans="3:12" s="30" customFormat="1" x14ac:dyDescent="0.2">
      <c r="C406" s="158"/>
      <c r="D406" s="159"/>
      <c r="E406" s="158"/>
      <c r="F406" s="155"/>
      <c r="G406" s="155"/>
      <c r="H406" s="155"/>
      <c r="I406" s="157"/>
      <c r="J406" s="155"/>
      <c r="K406" s="155"/>
      <c r="L406" s="171"/>
    </row>
    <row r="407" spans="3:12" s="30" customFormat="1" x14ac:dyDescent="0.2">
      <c r="C407" s="158"/>
      <c r="D407" s="159"/>
      <c r="E407" s="158"/>
      <c r="F407" s="155"/>
      <c r="G407" s="155"/>
      <c r="H407" s="155"/>
      <c r="I407" s="157"/>
      <c r="J407" s="155"/>
      <c r="K407" s="155"/>
      <c r="L407" s="171"/>
    </row>
    <row r="408" spans="3:12" s="30" customFormat="1" x14ac:dyDescent="0.2">
      <c r="C408" s="158"/>
      <c r="D408" s="159"/>
      <c r="E408" s="158"/>
      <c r="F408" s="155"/>
      <c r="G408" s="155"/>
      <c r="H408" s="155"/>
      <c r="I408" s="157"/>
      <c r="J408" s="155"/>
      <c r="K408" s="155"/>
      <c r="L408" s="171"/>
    </row>
    <row r="409" spans="3:12" s="30" customFormat="1" x14ac:dyDescent="0.2">
      <c r="C409" s="158"/>
      <c r="D409" s="159"/>
      <c r="E409" s="158"/>
      <c r="F409" s="155"/>
      <c r="G409" s="155"/>
      <c r="H409" s="155"/>
      <c r="I409" s="157"/>
      <c r="J409" s="155"/>
      <c r="K409" s="155"/>
      <c r="L409" s="171"/>
    </row>
    <row r="410" spans="3:12" s="30" customFormat="1" x14ac:dyDescent="0.2">
      <c r="C410" s="158"/>
      <c r="D410" s="159"/>
      <c r="E410" s="158"/>
      <c r="F410" s="155"/>
      <c r="G410" s="155"/>
      <c r="H410" s="155"/>
      <c r="I410" s="157"/>
      <c r="J410" s="155"/>
      <c r="K410" s="155"/>
      <c r="L410" s="171"/>
    </row>
    <row r="411" spans="3:12" s="30" customFormat="1" x14ac:dyDescent="0.2">
      <c r="C411" s="158"/>
      <c r="D411" s="159"/>
      <c r="E411" s="158"/>
      <c r="F411" s="155"/>
      <c r="G411" s="155"/>
      <c r="H411" s="155"/>
      <c r="I411" s="157"/>
      <c r="J411" s="155"/>
      <c r="K411" s="155"/>
      <c r="L411" s="171"/>
    </row>
    <row r="412" spans="3:12" s="30" customFormat="1" x14ac:dyDescent="0.2">
      <c r="C412" s="158"/>
      <c r="D412" s="159"/>
      <c r="E412" s="158"/>
      <c r="F412" s="155"/>
      <c r="G412" s="155"/>
      <c r="H412" s="155"/>
      <c r="I412" s="157"/>
      <c r="J412" s="155"/>
      <c r="K412" s="155"/>
      <c r="L412" s="171"/>
    </row>
    <row r="413" spans="3:12" s="30" customFormat="1" x14ac:dyDescent="0.2">
      <c r="C413" s="158"/>
      <c r="D413" s="159"/>
      <c r="E413" s="158"/>
      <c r="F413" s="155"/>
      <c r="G413" s="155"/>
      <c r="H413" s="155"/>
      <c r="I413" s="157"/>
      <c r="J413" s="155"/>
      <c r="K413" s="155"/>
      <c r="L413" s="171"/>
    </row>
    <row r="414" spans="3:12" s="30" customFormat="1" x14ac:dyDescent="0.2">
      <c r="C414" s="158"/>
      <c r="D414" s="159"/>
      <c r="E414" s="158"/>
      <c r="F414" s="155"/>
      <c r="G414" s="155"/>
      <c r="H414" s="155"/>
      <c r="I414" s="157"/>
      <c r="J414" s="155"/>
      <c r="K414" s="155"/>
      <c r="L414" s="171"/>
    </row>
    <row r="415" spans="3:12" s="30" customFormat="1" x14ac:dyDescent="0.2">
      <c r="C415" s="158"/>
      <c r="D415" s="159"/>
      <c r="E415" s="158"/>
      <c r="F415" s="155"/>
      <c r="G415" s="155"/>
      <c r="H415" s="155"/>
      <c r="I415" s="157"/>
      <c r="J415" s="155"/>
      <c r="K415" s="155"/>
      <c r="L415" s="171"/>
    </row>
    <row r="416" spans="3:12" s="30" customFormat="1" x14ac:dyDescent="0.2">
      <c r="C416" s="158"/>
      <c r="D416" s="159"/>
      <c r="E416" s="158"/>
      <c r="F416" s="155"/>
      <c r="G416" s="155"/>
      <c r="H416" s="155"/>
      <c r="I416" s="157"/>
      <c r="J416" s="155"/>
      <c r="K416" s="155"/>
      <c r="L416" s="171"/>
    </row>
    <row r="417" spans="3:12" s="30" customFormat="1" x14ac:dyDescent="0.2">
      <c r="C417" s="158"/>
      <c r="D417" s="159"/>
      <c r="E417" s="158"/>
      <c r="F417" s="155"/>
      <c r="G417" s="155"/>
      <c r="H417" s="155"/>
      <c r="I417" s="157"/>
      <c r="J417" s="155"/>
      <c r="K417" s="155"/>
      <c r="L417" s="171"/>
    </row>
    <row r="418" spans="3:12" s="30" customFormat="1" x14ac:dyDescent="0.2">
      <c r="C418" s="158"/>
      <c r="D418" s="159"/>
      <c r="E418" s="158"/>
      <c r="F418" s="155"/>
      <c r="G418" s="155"/>
      <c r="H418" s="155"/>
      <c r="I418" s="157"/>
      <c r="J418" s="155"/>
      <c r="K418" s="155"/>
      <c r="L418" s="171"/>
    </row>
    <row r="419" spans="3:12" s="30" customFormat="1" x14ac:dyDescent="0.2">
      <c r="C419" s="158"/>
      <c r="D419" s="159"/>
      <c r="E419" s="158"/>
      <c r="F419" s="155"/>
      <c r="G419" s="155"/>
      <c r="H419" s="155"/>
      <c r="I419" s="157"/>
      <c r="J419" s="155"/>
      <c r="K419" s="155"/>
      <c r="L419" s="171"/>
    </row>
    <row r="420" spans="3:12" s="30" customFormat="1" x14ac:dyDescent="0.2">
      <c r="C420" s="158"/>
      <c r="D420" s="159"/>
      <c r="E420" s="158"/>
      <c r="F420" s="155"/>
      <c r="G420" s="155"/>
      <c r="H420" s="155"/>
      <c r="I420" s="157"/>
      <c r="J420" s="155"/>
      <c r="K420" s="155"/>
      <c r="L420" s="171"/>
    </row>
    <row r="421" spans="3:12" s="30" customFormat="1" x14ac:dyDescent="0.2">
      <c r="C421" s="158"/>
      <c r="D421" s="159"/>
      <c r="E421" s="158"/>
      <c r="F421" s="155"/>
      <c r="G421" s="155"/>
      <c r="H421" s="155"/>
      <c r="I421" s="157"/>
      <c r="J421" s="155"/>
      <c r="K421" s="155"/>
      <c r="L421" s="171"/>
    </row>
    <row r="422" spans="3:12" s="30" customFormat="1" x14ac:dyDescent="0.2">
      <c r="C422" s="158"/>
      <c r="D422" s="159"/>
      <c r="E422" s="158"/>
      <c r="F422" s="155"/>
      <c r="G422" s="155"/>
      <c r="H422" s="155"/>
      <c r="I422" s="157"/>
      <c r="J422" s="155"/>
      <c r="K422" s="155"/>
      <c r="L422" s="171"/>
    </row>
    <row r="423" spans="3:12" s="30" customFormat="1" x14ac:dyDescent="0.2">
      <c r="C423" s="158"/>
      <c r="D423" s="159"/>
      <c r="E423" s="158"/>
      <c r="F423" s="155"/>
      <c r="G423" s="155"/>
      <c r="H423" s="155"/>
      <c r="I423" s="157"/>
      <c r="J423" s="155"/>
      <c r="K423" s="155"/>
      <c r="L423" s="171"/>
    </row>
    <row r="424" spans="3:12" s="30" customFormat="1" x14ac:dyDescent="0.2">
      <c r="C424" s="158"/>
      <c r="D424" s="159"/>
      <c r="E424" s="158"/>
      <c r="F424" s="155"/>
      <c r="G424" s="155"/>
      <c r="H424" s="155"/>
      <c r="I424" s="157"/>
      <c r="J424" s="155"/>
      <c r="K424" s="155"/>
      <c r="L424" s="171"/>
    </row>
    <row r="425" spans="3:12" s="30" customFormat="1" x14ac:dyDescent="0.2">
      <c r="C425" s="158"/>
      <c r="D425" s="159"/>
      <c r="E425" s="158"/>
      <c r="F425" s="155"/>
      <c r="G425" s="155"/>
      <c r="H425" s="155"/>
      <c r="I425" s="157"/>
      <c r="J425" s="155"/>
      <c r="K425" s="155"/>
      <c r="L425" s="171"/>
    </row>
    <row r="426" spans="3:12" s="30" customFormat="1" x14ac:dyDescent="0.2">
      <c r="C426" s="158"/>
      <c r="D426" s="159"/>
      <c r="E426" s="158"/>
      <c r="F426" s="155"/>
      <c r="G426" s="155"/>
      <c r="H426" s="155"/>
      <c r="I426" s="157"/>
      <c r="J426" s="155"/>
      <c r="K426" s="155"/>
      <c r="L426" s="171"/>
    </row>
    <row r="427" spans="3:12" s="30" customFormat="1" x14ac:dyDescent="0.2">
      <c r="C427" s="158"/>
      <c r="D427" s="159"/>
      <c r="E427" s="158"/>
      <c r="F427" s="155"/>
      <c r="G427" s="155"/>
      <c r="H427" s="155"/>
      <c r="I427" s="157"/>
      <c r="J427" s="155"/>
      <c r="K427" s="155"/>
      <c r="L427" s="171"/>
    </row>
    <row r="428" spans="3:12" s="30" customFormat="1" x14ac:dyDescent="0.2">
      <c r="C428" s="158"/>
      <c r="D428" s="159"/>
      <c r="E428" s="158"/>
      <c r="F428" s="155"/>
      <c r="G428" s="155"/>
      <c r="H428" s="155"/>
      <c r="I428" s="157"/>
      <c r="J428" s="155"/>
      <c r="K428" s="155"/>
      <c r="L428" s="171"/>
    </row>
    <row r="429" spans="3:12" s="30" customFormat="1" x14ac:dyDescent="0.2">
      <c r="C429" s="158"/>
      <c r="D429" s="159"/>
      <c r="E429" s="158"/>
      <c r="F429" s="155"/>
      <c r="G429" s="155"/>
      <c r="H429" s="155"/>
      <c r="I429" s="157"/>
      <c r="J429" s="155"/>
      <c r="K429" s="155"/>
      <c r="L429" s="171"/>
    </row>
    <row r="430" spans="3:12" s="30" customFormat="1" x14ac:dyDescent="0.2">
      <c r="C430" s="158"/>
      <c r="D430" s="159"/>
      <c r="E430" s="158"/>
      <c r="F430" s="155"/>
      <c r="G430" s="155"/>
      <c r="H430" s="155"/>
      <c r="I430" s="157"/>
      <c r="J430" s="155"/>
      <c r="K430" s="155"/>
      <c r="L430" s="171"/>
    </row>
    <row r="431" spans="3:12" s="30" customFormat="1" x14ac:dyDescent="0.2">
      <c r="C431" s="158"/>
      <c r="D431" s="159"/>
      <c r="E431" s="158"/>
      <c r="F431" s="155"/>
      <c r="G431" s="155"/>
      <c r="H431" s="155"/>
      <c r="I431" s="157"/>
      <c r="J431" s="155"/>
      <c r="K431" s="155"/>
      <c r="L431" s="171"/>
    </row>
    <row r="432" spans="3:12" s="30" customFormat="1" x14ac:dyDescent="0.2">
      <c r="C432" s="158"/>
      <c r="D432" s="159"/>
      <c r="E432" s="158"/>
      <c r="F432" s="155"/>
      <c r="G432" s="155"/>
      <c r="H432" s="155"/>
      <c r="I432" s="157"/>
      <c r="J432" s="155"/>
      <c r="K432" s="155"/>
      <c r="L432" s="171"/>
    </row>
    <row r="433" spans="3:12" s="30" customFormat="1" x14ac:dyDescent="0.2">
      <c r="C433" s="158"/>
      <c r="D433" s="159"/>
      <c r="E433" s="158"/>
      <c r="F433" s="155"/>
      <c r="G433" s="155"/>
      <c r="H433" s="155"/>
      <c r="I433" s="157"/>
      <c r="J433" s="155"/>
      <c r="K433" s="155"/>
      <c r="L433" s="171"/>
    </row>
    <row r="434" spans="3:12" s="30" customFormat="1" x14ac:dyDescent="0.2">
      <c r="C434" s="158"/>
      <c r="D434" s="159"/>
      <c r="E434" s="158"/>
      <c r="F434" s="155"/>
      <c r="G434" s="155"/>
      <c r="H434" s="155"/>
      <c r="I434" s="157"/>
      <c r="J434" s="155"/>
      <c r="K434" s="155"/>
      <c r="L434" s="171"/>
    </row>
    <row r="435" spans="3:12" s="30" customFormat="1" x14ac:dyDescent="0.2">
      <c r="C435" s="158"/>
      <c r="D435" s="159"/>
      <c r="E435" s="158"/>
      <c r="F435" s="155"/>
      <c r="G435" s="155"/>
      <c r="H435" s="155"/>
      <c r="I435" s="157"/>
      <c r="J435" s="155"/>
      <c r="K435" s="155"/>
      <c r="L435" s="171"/>
    </row>
    <row r="436" spans="3:12" s="30" customFormat="1" x14ac:dyDescent="0.2">
      <c r="C436" s="158"/>
      <c r="D436" s="159"/>
      <c r="E436" s="158"/>
      <c r="F436" s="155"/>
      <c r="G436" s="155"/>
      <c r="H436" s="155"/>
      <c r="I436" s="157"/>
      <c r="J436" s="155"/>
      <c r="K436" s="155"/>
      <c r="L436" s="171"/>
    </row>
    <row r="437" spans="3:12" s="30" customFormat="1" x14ac:dyDescent="0.2">
      <c r="C437" s="158"/>
      <c r="D437" s="159"/>
      <c r="E437" s="158"/>
      <c r="F437" s="155"/>
      <c r="G437" s="155"/>
      <c r="H437" s="155"/>
      <c r="I437" s="157"/>
      <c r="J437" s="155"/>
      <c r="K437" s="155"/>
      <c r="L437" s="171"/>
    </row>
    <row r="438" spans="3:12" s="30" customFormat="1" x14ac:dyDescent="0.2">
      <c r="C438" s="158"/>
      <c r="D438" s="159"/>
      <c r="E438" s="158"/>
      <c r="F438" s="155"/>
      <c r="G438" s="155"/>
      <c r="H438" s="155"/>
      <c r="I438" s="157"/>
      <c r="J438" s="155"/>
      <c r="K438" s="155"/>
      <c r="L438" s="171"/>
    </row>
    <row r="439" spans="3:12" s="30" customFormat="1" x14ac:dyDescent="0.2">
      <c r="C439" s="158"/>
      <c r="D439" s="159"/>
      <c r="E439" s="158"/>
      <c r="F439" s="155"/>
      <c r="G439" s="155"/>
      <c r="H439" s="155"/>
      <c r="I439" s="157"/>
      <c r="J439" s="155"/>
      <c r="K439" s="155"/>
      <c r="L439" s="171"/>
    </row>
    <row r="440" spans="3:12" s="30" customFormat="1" x14ac:dyDescent="0.2">
      <c r="C440" s="158"/>
      <c r="D440" s="159"/>
      <c r="E440" s="158"/>
      <c r="F440" s="155"/>
      <c r="G440" s="155"/>
      <c r="H440" s="155"/>
      <c r="I440" s="157"/>
      <c r="J440" s="155"/>
      <c r="K440" s="155"/>
      <c r="L440" s="171"/>
    </row>
    <row r="441" spans="3:12" s="30" customFormat="1" x14ac:dyDescent="0.2">
      <c r="C441" s="158"/>
      <c r="D441" s="159"/>
      <c r="E441" s="158"/>
      <c r="F441" s="155"/>
      <c r="G441" s="155"/>
      <c r="H441" s="155"/>
      <c r="I441" s="157"/>
      <c r="J441" s="155"/>
      <c r="K441" s="155"/>
      <c r="L441" s="171"/>
    </row>
    <row r="442" spans="3:12" s="30" customFormat="1" x14ac:dyDescent="0.2">
      <c r="C442" s="158"/>
      <c r="D442" s="159"/>
      <c r="E442" s="158"/>
      <c r="F442" s="155"/>
      <c r="G442" s="155"/>
      <c r="H442" s="155"/>
      <c r="I442" s="157"/>
      <c r="J442" s="155"/>
      <c r="K442" s="155"/>
      <c r="L442" s="171"/>
    </row>
    <row r="443" spans="3:12" s="30" customFormat="1" x14ac:dyDescent="0.2">
      <c r="C443" s="158"/>
      <c r="D443" s="159"/>
      <c r="E443" s="158"/>
      <c r="F443" s="155"/>
      <c r="G443" s="155"/>
      <c r="H443" s="155"/>
      <c r="I443" s="157"/>
      <c r="J443" s="155"/>
      <c r="K443" s="155"/>
      <c r="L443" s="171"/>
    </row>
    <row r="444" spans="3:12" s="30" customFormat="1" x14ac:dyDescent="0.2">
      <c r="C444" s="158"/>
      <c r="D444" s="159"/>
      <c r="E444" s="158"/>
      <c r="F444" s="155"/>
      <c r="G444" s="155"/>
      <c r="H444" s="155"/>
      <c r="I444" s="157"/>
      <c r="J444" s="155"/>
      <c r="K444" s="155"/>
      <c r="L444" s="171"/>
    </row>
    <row r="445" spans="3:12" s="30" customFormat="1" x14ac:dyDescent="0.2">
      <c r="C445" s="158"/>
      <c r="D445" s="159"/>
      <c r="E445" s="158"/>
      <c r="F445" s="155"/>
      <c r="G445" s="155"/>
      <c r="H445" s="155"/>
      <c r="I445" s="157"/>
      <c r="J445" s="155"/>
      <c r="K445" s="155"/>
      <c r="L445" s="171"/>
    </row>
    <row r="446" spans="3:12" s="30" customFormat="1" x14ac:dyDescent="0.2">
      <c r="C446" s="158"/>
      <c r="D446" s="159"/>
      <c r="E446" s="158"/>
      <c r="F446" s="155"/>
      <c r="G446" s="155"/>
      <c r="H446" s="155"/>
      <c r="I446" s="157"/>
      <c r="J446" s="155"/>
      <c r="K446" s="155"/>
      <c r="L446" s="171"/>
    </row>
    <row r="447" spans="3:12" s="30" customFormat="1" x14ac:dyDescent="0.2">
      <c r="C447" s="158"/>
      <c r="D447" s="159"/>
      <c r="E447" s="158"/>
      <c r="F447" s="155"/>
      <c r="G447" s="155"/>
      <c r="H447" s="155"/>
      <c r="I447" s="157"/>
      <c r="J447" s="155"/>
      <c r="K447" s="155"/>
      <c r="L447" s="171"/>
    </row>
    <row r="448" spans="3:12" s="30" customFormat="1" x14ac:dyDescent="0.2">
      <c r="C448" s="158"/>
      <c r="D448" s="159"/>
      <c r="E448" s="158"/>
      <c r="F448" s="155"/>
      <c r="G448" s="155"/>
      <c r="H448" s="155"/>
      <c r="I448" s="157"/>
      <c r="J448" s="155"/>
      <c r="K448" s="155"/>
      <c r="L448" s="171"/>
    </row>
    <row r="449" spans="3:12" s="30" customFormat="1" x14ac:dyDescent="0.2">
      <c r="C449" s="158"/>
      <c r="D449" s="159"/>
      <c r="E449" s="158"/>
      <c r="F449" s="155"/>
      <c r="G449" s="155"/>
      <c r="H449" s="155"/>
      <c r="I449" s="157"/>
      <c r="J449" s="155"/>
      <c r="K449" s="155"/>
      <c r="L449" s="171"/>
    </row>
    <row r="450" spans="3:12" s="30" customFormat="1" x14ac:dyDescent="0.2">
      <c r="C450" s="158"/>
      <c r="D450" s="159"/>
      <c r="E450" s="158"/>
      <c r="F450" s="155"/>
      <c r="G450" s="155"/>
      <c r="H450" s="155"/>
      <c r="I450" s="157"/>
      <c r="J450" s="155"/>
      <c r="K450" s="155"/>
      <c r="L450" s="171"/>
    </row>
    <row r="451" spans="3:12" s="30" customFormat="1" x14ac:dyDescent="0.2">
      <c r="C451" s="158"/>
      <c r="D451" s="159"/>
      <c r="E451" s="158"/>
      <c r="F451" s="155"/>
      <c r="G451" s="155"/>
      <c r="H451" s="155"/>
      <c r="I451" s="157"/>
      <c r="J451" s="155"/>
      <c r="K451" s="155"/>
      <c r="L451" s="171"/>
    </row>
    <row r="452" spans="3:12" s="30" customFormat="1" x14ac:dyDescent="0.2">
      <c r="C452" s="158"/>
      <c r="D452" s="159"/>
      <c r="E452" s="158"/>
      <c r="F452" s="155"/>
      <c r="G452" s="155"/>
      <c r="H452" s="155"/>
      <c r="I452" s="157"/>
      <c r="J452" s="155"/>
      <c r="K452" s="155"/>
      <c r="L452" s="171"/>
    </row>
    <row r="453" spans="3:12" s="30" customFormat="1" x14ac:dyDescent="0.2">
      <c r="C453" s="158"/>
      <c r="D453" s="159"/>
      <c r="E453" s="158"/>
      <c r="F453" s="155"/>
      <c r="G453" s="155"/>
      <c r="H453" s="155"/>
      <c r="I453" s="157"/>
      <c r="J453" s="155"/>
      <c r="K453" s="155"/>
      <c r="L453" s="171"/>
    </row>
    <row r="454" spans="3:12" s="30" customFormat="1" x14ac:dyDescent="0.2">
      <c r="C454" s="158"/>
      <c r="D454" s="159"/>
      <c r="E454" s="158"/>
      <c r="F454" s="155"/>
      <c r="G454" s="155"/>
      <c r="H454" s="155"/>
      <c r="I454" s="157"/>
      <c r="J454" s="155"/>
      <c r="K454" s="155"/>
      <c r="L454" s="171"/>
    </row>
    <row r="455" spans="3:12" s="30" customFormat="1" x14ac:dyDescent="0.2">
      <c r="C455" s="158"/>
      <c r="D455" s="159"/>
      <c r="E455" s="158"/>
      <c r="F455" s="155"/>
      <c r="G455" s="155"/>
      <c r="H455" s="155"/>
      <c r="I455" s="157"/>
      <c r="J455" s="155"/>
      <c r="K455" s="155"/>
      <c r="L455" s="171"/>
    </row>
    <row r="456" spans="3:12" s="30" customFormat="1" x14ac:dyDescent="0.2">
      <c r="C456" s="158"/>
      <c r="D456" s="159"/>
      <c r="E456" s="158"/>
      <c r="F456" s="155"/>
      <c r="G456" s="155"/>
      <c r="H456" s="155"/>
      <c r="I456" s="157"/>
      <c r="J456" s="155"/>
      <c r="K456" s="155"/>
      <c r="L456" s="171"/>
    </row>
    <row r="457" spans="3:12" s="30" customFormat="1" x14ac:dyDescent="0.2">
      <c r="C457" s="158"/>
      <c r="D457" s="159"/>
      <c r="E457" s="158"/>
      <c r="F457" s="155"/>
      <c r="G457" s="155"/>
      <c r="H457" s="155"/>
      <c r="I457" s="157"/>
      <c r="J457" s="155"/>
      <c r="K457" s="155"/>
      <c r="L457" s="171"/>
    </row>
    <row r="458" spans="3:12" s="30" customFormat="1" x14ac:dyDescent="0.2">
      <c r="C458" s="158"/>
      <c r="D458" s="159"/>
      <c r="E458" s="158"/>
      <c r="F458" s="155"/>
      <c r="G458" s="155"/>
      <c r="H458" s="155"/>
      <c r="I458" s="157"/>
      <c r="J458" s="155"/>
      <c r="K458" s="155"/>
      <c r="L458" s="171"/>
    </row>
    <row r="459" spans="3:12" s="30" customFormat="1" x14ac:dyDescent="0.2">
      <c r="C459" s="158"/>
      <c r="D459" s="159"/>
      <c r="E459" s="158"/>
      <c r="F459" s="155"/>
      <c r="G459" s="155"/>
      <c r="H459" s="155"/>
      <c r="I459" s="157"/>
      <c r="J459" s="155"/>
      <c r="K459" s="155"/>
      <c r="L459" s="171"/>
    </row>
    <row r="460" spans="3:12" s="30" customFormat="1" x14ac:dyDescent="0.2">
      <c r="C460" s="158"/>
      <c r="D460" s="159"/>
      <c r="E460" s="158"/>
      <c r="F460" s="155"/>
      <c r="G460" s="155"/>
      <c r="H460" s="155"/>
      <c r="I460" s="157"/>
      <c r="J460" s="155"/>
      <c r="K460" s="155"/>
      <c r="L460" s="171"/>
    </row>
    <row r="461" spans="3:12" s="30" customFormat="1" x14ac:dyDescent="0.2">
      <c r="C461" s="158"/>
      <c r="D461" s="159"/>
      <c r="E461" s="158"/>
      <c r="F461" s="155"/>
      <c r="G461" s="155"/>
      <c r="H461" s="155"/>
      <c r="I461" s="157"/>
      <c r="J461" s="155"/>
      <c r="K461" s="155"/>
      <c r="L461" s="171"/>
    </row>
    <row r="462" spans="3:12" s="30" customFormat="1" x14ac:dyDescent="0.2">
      <c r="C462" s="158"/>
      <c r="D462" s="159"/>
      <c r="E462" s="158"/>
      <c r="F462" s="155"/>
      <c r="G462" s="155"/>
      <c r="H462" s="155"/>
      <c r="I462" s="157"/>
      <c r="J462" s="155"/>
      <c r="K462" s="155"/>
      <c r="L462" s="171"/>
    </row>
    <row r="463" spans="3:12" s="30" customFormat="1" x14ac:dyDescent="0.2">
      <c r="C463" s="158"/>
      <c r="D463" s="159"/>
      <c r="E463" s="158"/>
      <c r="F463" s="155"/>
      <c r="G463" s="155"/>
      <c r="H463" s="155"/>
      <c r="I463" s="157"/>
      <c r="J463" s="155"/>
      <c r="K463" s="155"/>
      <c r="L463" s="171"/>
    </row>
    <row r="464" spans="3:12" s="30" customFormat="1" x14ac:dyDescent="0.2">
      <c r="C464" s="158"/>
      <c r="D464" s="159"/>
      <c r="E464" s="158"/>
      <c r="F464" s="155"/>
      <c r="G464" s="155"/>
      <c r="H464" s="155"/>
      <c r="I464" s="157"/>
      <c r="J464" s="155"/>
      <c r="K464" s="155"/>
      <c r="L464" s="171"/>
    </row>
    <row r="465" spans="3:12" s="30" customFormat="1" x14ac:dyDescent="0.2">
      <c r="C465" s="158"/>
      <c r="D465" s="159"/>
      <c r="E465" s="158"/>
      <c r="F465" s="155"/>
      <c r="G465" s="155"/>
      <c r="H465" s="155"/>
      <c r="I465" s="157"/>
      <c r="J465" s="155"/>
      <c r="K465" s="155"/>
      <c r="L465" s="171"/>
    </row>
    <row r="466" spans="3:12" s="30" customFormat="1" x14ac:dyDescent="0.2">
      <c r="C466" s="158"/>
      <c r="D466" s="159"/>
      <c r="E466" s="158"/>
      <c r="F466" s="155"/>
      <c r="G466" s="155"/>
      <c r="H466" s="155"/>
      <c r="I466" s="157"/>
      <c r="J466" s="155"/>
      <c r="K466" s="155"/>
      <c r="L466" s="171"/>
    </row>
    <row r="467" spans="3:12" s="30" customFormat="1" x14ac:dyDescent="0.2">
      <c r="C467" s="158"/>
      <c r="D467" s="159"/>
      <c r="E467" s="158"/>
      <c r="F467" s="155"/>
      <c r="G467" s="155"/>
      <c r="H467" s="155"/>
      <c r="I467" s="157"/>
      <c r="J467" s="155"/>
      <c r="K467" s="155"/>
      <c r="L467" s="171"/>
    </row>
    <row r="468" spans="3:12" s="30" customFormat="1" x14ac:dyDescent="0.2">
      <c r="C468" s="158"/>
      <c r="D468" s="159"/>
      <c r="E468" s="158"/>
      <c r="F468" s="155"/>
      <c r="G468" s="155"/>
      <c r="H468" s="155"/>
      <c r="I468" s="157"/>
      <c r="J468" s="155"/>
      <c r="K468" s="155"/>
      <c r="L468" s="171"/>
    </row>
    <row r="469" spans="3:12" s="30" customFormat="1" x14ac:dyDescent="0.2">
      <c r="C469" s="158"/>
      <c r="D469" s="159"/>
      <c r="E469" s="158"/>
      <c r="F469" s="155"/>
      <c r="G469" s="155"/>
      <c r="H469" s="155"/>
      <c r="I469" s="157"/>
      <c r="J469" s="155"/>
      <c r="K469" s="155"/>
      <c r="L469" s="171"/>
    </row>
    <row r="470" spans="3:12" s="30" customFormat="1" x14ac:dyDescent="0.2">
      <c r="C470" s="158"/>
      <c r="D470" s="159"/>
      <c r="E470" s="158"/>
      <c r="F470" s="155"/>
      <c r="G470" s="155"/>
      <c r="H470" s="155"/>
      <c r="I470" s="157"/>
      <c r="J470" s="155"/>
      <c r="K470" s="155"/>
      <c r="L470" s="171"/>
    </row>
    <row r="471" spans="3:12" s="30" customFormat="1" x14ac:dyDescent="0.2">
      <c r="C471" s="158"/>
      <c r="D471" s="159"/>
      <c r="E471" s="158"/>
      <c r="F471" s="155"/>
      <c r="G471" s="155"/>
      <c r="H471" s="155"/>
      <c r="I471" s="157"/>
      <c r="J471" s="155"/>
      <c r="K471" s="155"/>
      <c r="L471" s="171"/>
    </row>
    <row r="472" spans="3:12" s="30" customFormat="1" x14ac:dyDescent="0.2">
      <c r="C472" s="158"/>
      <c r="D472" s="159"/>
      <c r="E472" s="158"/>
      <c r="F472" s="155"/>
      <c r="G472" s="155"/>
      <c r="H472" s="155"/>
      <c r="I472" s="157"/>
      <c r="J472" s="155"/>
      <c r="K472" s="155"/>
      <c r="L472" s="171"/>
    </row>
    <row r="473" spans="3:12" s="30" customFormat="1" x14ac:dyDescent="0.2">
      <c r="C473" s="158"/>
      <c r="D473" s="159"/>
      <c r="E473" s="158"/>
      <c r="F473" s="155"/>
      <c r="G473" s="155"/>
      <c r="H473" s="155"/>
      <c r="I473" s="157"/>
      <c r="J473" s="155"/>
      <c r="K473" s="155"/>
      <c r="L473" s="171"/>
    </row>
    <row r="474" spans="3:12" s="30" customFormat="1" x14ac:dyDescent="0.2">
      <c r="C474" s="158"/>
      <c r="D474" s="159"/>
      <c r="E474" s="158"/>
      <c r="F474" s="155"/>
      <c r="G474" s="155"/>
      <c r="H474" s="155"/>
      <c r="I474" s="157"/>
      <c r="J474" s="155"/>
      <c r="K474" s="155"/>
      <c r="L474" s="171"/>
    </row>
    <row r="475" spans="3:12" s="30" customFormat="1" x14ac:dyDescent="0.2">
      <c r="C475" s="158"/>
      <c r="D475" s="159"/>
      <c r="E475" s="158"/>
      <c r="F475" s="155"/>
      <c r="G475" s="155"/>
      <c r="H475" s="155"/>
      <c r="I475" s="157"/>
      <c r="J475" s="155"/>
      <c r="K475" s="155"/>
      <c r="L475" s="171"/>
    </row>
    <row r="476" spans="3:12" s="30" customFormat="1" x14ac:dyDescent="0.2">
      <c r="C476" s="158"/>
      <c r="D476" s="159"/>
      <c r="E476" s="158"/>
      <c r="F476" s="155"/>
      <c r="G476" s="155"/>
      <c r="H476" s="155"/>
      <c r="I476" s="157"/>
      <c r="J476" s="155"/>
      <c r="K476" s="155"/>
      <c r="L476" s="171"/>
    </row>
    <row r="477" spans="3:12" s="30" customFormat="1" x14ac:dyDescent="0.2">
      <c r="C477" s="158"/>
      <c r="D477" s="159"/>
      <c r="E477" s="158"/>
      <c r="F477" s="155"/>
      <c r="G477" s="155"/>
      <c r="H477" s="155"/>
      <c r="I477" s="157"/>
      <c r="J477" s="155"/>
      <c r="K477" s="155"/>
      <c r="L477" s="171"/>
    </row>
    <row r="478" spans="3:12" s="30" customFormat="1" x14ac:dyDescent="0.2">
      <c r="C478" s="158"/>
      <c r="D478" s="159"/>
      <c r="E478" s="158"/>
      <c r="F478" s="155"/>
      <c r="G478" s="155"/>
      <c r="H478" s="155"/>
      <c r="I478" s="157"/>
      <c r="J478" s="155"/>
      <c r="K478" s="155"/>
      <c r="L478" s="171"/>
    </row>
    <row r="479" spans="3:12" s="30" customFormat="1" x14ac:dyDescent="0.2">
      <c r="C479" s="158"/>
      <c r="D479" s="159"/>
      <c r="E479" s="158"/>
      <c r="F479" s="155"/>
      <c r="G479" s="155"/>
      <c r="H479" s="155"/>
      <c r="I479" s="157"/>
      <c r="J479" s="155"/>
      <c r="K479" s="155"/>
      <c r="L479" s="171"/>
    </row>
    <row r="480" spans="3:12" s="30" customFormat="1" x14ac:dyDescent="0.2">
      <c r="C480" s="158"/>
      <c r="D480" s="159"/>
      <c r="E480" s="158"/>
      <c r="F480" s="155"/>
      <c r="G480" s="155"/>
      <c r="H480" s="155"/>
      <c r="I480" s="157"/>
      <c r="J480" s="155"/>
      <c r="K480" s="155"/>
      <c r="L480" s="171"/>
    </row>
    <row r="481" spans="3:12" s="30" customFormat="1" x14ac:dyDescent="0.2">
      <c r="C481" s="158"/>
      <c r="D481" s="159"/>
      <c r="E481" s="158"/>
      <c r="F481" s="155"/>
      <c r="G481" s="155"/>
      <c r="H481" s="155"/>
      <c r="I481" s="157"/>
      <c r="J481" s="155"/>
      <c r="K481" s="155"/>
      <c r="L481" s="171"/>
    </row>
    <row r="482" spans="3:12" s="30" customFormat="1" x14ac:dyDescent="0.2">
      <c r="C482" s="158"/>
      <c r="D482" s="159"/>
      <c r="E482" s="158"/>
      <c r="F482" s="155"/>
      <c r="G482" s="155"/>
      <c r="H482" s="155"/>
      <c r="I482" s="157"/>
      <c r="J482" s="155"/>
      <c r="K482" s="155"/>
      <c r="L482" s="171"/>
    </row>
    <row r="483" spans="3:12" s="30" customFormat="1" x14ac:dyDescent="0.2">
      <c r="C483" s="158"/>
      <c r="D483" s="159"/>
      <c r="E483" s="158"/>
      <c r="F483" s="155"/>
      <c r="G483" s="155"/>
      <c r="H483" s="155"/>
      <c r="I483" s="157"/>
      <c r="J483" s="155"/>
      <c r="K483" s="155"/>
      <c r="L483" s="171"/>
    </row>
    <row r="484" spans="3:12" s="30" customFormat="1" x14ac:dyDescent="0.2">
      <c r="C484" s="158"/>
      <c r="D484" s="159"/>
      <c r="E484" s="158"/>
      <c r="F484" s="155"/>
      <c r="G484" s="155"/>
      <c r="H484" s="155"/>
      <c r="I484" s="157"/>
      <c r="J484" s="155"/>
      <c r="K484" s="155"/>
      <c r="L484" s="171"/>
    </row>
    <row r="485" spans="3:12" s="30" customFormat="1" x14ac:dyDescent="0.2">
      <c r="C485" s="158"/>
      <c r="D485" s="159"/>
      <c r="E485" s="158"/>
      <c r="F485" s="155"/>
      <c r="G485" s="155"/>
      <c r="H485" s="155"/>
      <c r="I485" s="157"/>
      <c r="J485" s="155"/>
      <c r="K485" s="155"/>
      <c r="L485" s="171"/>
    </row>
    <row r="486" spans="3:12" s="30" customFormat="1" x14ac:dyDescent="0.2">
      <c r="C486" s="158"/>
      <c r="D486" s="159"/>
      <c r="E486" s="158"/>
      <c r="F486" s="155"/>
      <c r="G486" s="155"/>
      <c r="H486" s="155"/>
      <c r="I486" s="157"/>
      <c r="J486" s="155"/>
      <c r="K486" s="155"/>
      <c r="L486" s="171"/>
    </row>
    <row r="487" spans="3:12" s="30" customFormat="1" x14ac:dyDescent="0.2">
      <c r="C487" s="158"/>
      <c r="D487" s="159"/>
      <c r="E487" s="158"/>
      <c r="F487" s="155"/>
      <c r="G487" s="155"/>
      <c r="H487" s="155"/>
      <c r="I487" s="157"/>
      <c r="J487" s="155"/>
      <c r="K487" s="155"/>
      <c r="L487" s="171"/>
    </row>
    <row r="488" spans="3:12" s="30" customFormat="1" x14ac:dyDescent="0.2">
      <c r="C488" s="158"/>
      <c r="D488" s="159"/>
      <c r="E488" s="158"/>
      <c r="F488" s="155"/>
      <c r="G488" s="155"/>
      <c r="H488" s="155"/>
      <c r="I488" s="157"/>
      <c r="J488" s="155"/>
      <c r="K488" s="155"/>
      <c r="L488" s="171"/>
    </row>
    <row r="489" spans="3:12" s="30" customFormat="1" x14ac:dyDescent="0.2">
      <c r="C489" s="158"/>
      <c r="D489" s="159"/>
      <c r="E489" s="158"/>
      <c r="F489" s="155"/>
      <c r="G489" s="155"/>
      <c r="H489" s="155"/>
      <c r="I489" s="157"/>
      <c r="J489" s="155"/>
      <c r="K489" s="155"/>
      <c r="L489" s="171"/>
    </row>
    <row r="490" spans="3:12" s="30" customFormat="1" x14ac:dyDescent="0.2">
      <c r="C490" s="158"/>
      <c r="D490" s="159"/>
      <c r="E490" s="158"/>
      <c r="F490" s="155"/>
      <c r="G490" s="155"/>
      <c r="H490" s="155"/>
      <c r="I490" s="157"/>
      <c r="J490" s="155"/>
      <c r="K490" s="155"/>
      <c r="L490" s="171"/>
    </row>
    <row r="491" spans="3:12" s="30" customFormat="1" x14ac:dyDescent="0.2">
      <c r="C491" s="158"/>
      <c r="D491" s="159"/>
      <c r="E491" s="158"/>
      <c r="F491" s="155"/>
      <c r="G491" s="155"/>
      <c r="H491" s="155"/>
      <c r="I491" s="157"/>
      <c r="J491" s="155"/>
      <c r="K491" s="155"/>
      <c r="L491" s="171"/>
    </row>
    <row r="492" spans="3:12" s="30" customFormat="1" x14ac:dyDescent="0.2">
      <c r="C492" s="158"/>
      <c r="D492" s="159"/>
      <c r="E492" s="158"/>
      <c r="F492" s="155"/>
      <c r="G492" s="155"/>
      <c r="H492" s="155"/>
      <c r="I492" s="157"/>
      <c r="J492" s="155"/>
      <c r="K492" s="155"/>
      <c r="L492" s="171"/>
    </row>
    <row r="493" spans="3:12" s="30" customFormat="1" x14ac:dyDescent="0.2">
      <c r="C493" s="158"/>
      <c r="D493" s="159"/>
      <c r="E493" s="158"/>
      <c r="F493" s="155"/>
      <c r="G493" s="155"/>
      <c r="H493" s="155"/>
      <c r="I493" s="157"/>
      <c r="J493" s="155"/>
      <c r="K493" s="155"/>
      <c r="L493" s="171"/>
    </row>
    <row r="494" spans="3:12" s="30" customFormat="1" x14ac:dyDescent="0.2">
      <c r="C494" s="158"/>
      <c r="D494" s="159"/>
      <c r="E494" s="158"/>
      <c r="F494" s="155"/>
      <c r="G494" s="155"/>
      <c r="H494" s="155"/>
      <c r="I494" s="157"/>
      <c r="J494" s="155"/>
      <c r="K494" s="155"/>
      <c r="L494" s="171"/>
    </row>
    <row r="495" spans="3:12" s="30" customFormat="1" x14ac:dyDescent="0.2">
      <c r="C495" s="158"/>
      <c r="D495" s="159"/>
      <c r="E495" s="158"/>
      <c r="F495" s="155"/>
      <c r="G495" s="155"/>
      <c r="H495" s="155"/>
      <c r="I495" s="157"/>
      <c r="J495" s="155"/>
      <c r="K495" s="155"/>
      <c r="L495" s="171"/>
    </row>
    <row r="496" spans="3:12" s="30" customFormat="1" x14ac:dyDescent="0.2">
      <c r="C496" s="158"/>
      <c r="D496" s="159"/>
      <c r="E496" s="158"/>
      <c r="F496" s="155"/>
      <c r="G496" s="155"/>
      <c r="H496" s="155"/>
      <c r="I496" s="157"/>
      <c r="J496" s="155"/>
      <c r="K496" s="155"/>
      <c r="L496" s="171"/>
    </row>
    <row r="497" spans="3:12" s="30" customFormat="1" x14ac:dyDescent="0.2">
      <c r="C497" s="158"/>
      <c r="D497" s="159"/>
      <c r="E497" s="158"/>
      <c r="F497" s="155"/>
      <c r="G497" s="155"/>
      <c r="H497" s="155"/>
      <c r="I497" s="157"/>
      <c r="J497" s="155"/>
      <c r="K497" s="155"/>
      <c r="L497" s="171"/>
    </row>
    <row r="498" spans="3:12" s="30" customFormat="1" x14ac:dyDescent="0.2">
      <c r="C498" s="158"/>
      <c r="D498" s="159"/>
      <c r="E498" s="158"/>
      <c r="F498" s="155"/>
      <c r="G498" s="155"/>
      <c r="H498" s="155"/>
      <c r="I498" s="157"/>
      <c r="J498" s="155"/>
      <c r="K498" s="155"/>
      <c r="L498" s="171"/>
    </row>
    <row r="499" spans="3:12" s="30" customFormat="1" x14ac:dyDescent="0.2">
      <c r="C499" s="158"/>
      <c r="D499" s="159"/>
      <c r="E499" s="158"/>
      <c r="F499" s="155"/>
      <c r="G499" s="155"/>
      <c r="H499" s="155"/>
      <c r="I499" s="157"/>
      <c r="J499" s="155"/>
      <c r="K499" s="155"/>
      <c r="L499" s="171"/>
    </row>
    <row r="500" spans="3:12" s="30" customFormat="1" x14ac:dyDescent="0.2">
      <c r="C500" s="158"/>
      <c r="D500" s="159"/>
      <c r="E500" s="158"/>
      <c r="F500" s="155"/>
      <c r="G500" s="155"/>
      <c r="H500" s="155"/>
      <c r="I500" s="157"/>
      <c r="J500" s="155"/>
      <c r="K500" s="155"/>
      <c r="L500" s="171"/>
    </row>
    <row r="501" spans="3:12" s="30" customFormat="1" x14ac:dyDescent="0.2">
      <c r="C501" s="158"/>
      <c r="D501" s="159"/>
      <c r="E501" s="158"/>
      <c r="F501" s="155"/>
      <c r="G501" s="155"/>
      <c r="H501" s="155"/>
      <c r="I501" s="157"/>
      <c r="J501" s="155"/>
      <c r="K501" s="155"/>
      <c r="L501" s="171"/>
    </row>
    <row r="502" spans="3:12" s="30" customFormat="1" x14ac:dyDescent="0.2">
      <c r="C502" s="158"/>
      <c r="D502" s="159"/>
      <c r="E502" s="158"/>
      <c r="F502" s="155"/>
      <c r="G502" s="155"/>
      <c r="H502" s="155"/>
      <c r="I502" s="157"/>
      <c r="J502" s="155"/>
      <c r="K502" s="155"/>
      <c r="L502" s="171"/>
    </row>
    <row r="503" spans="3:12" s="30" customFormat="1" x14ac:dyDescent="0.2">
      <c r="C503" s="158"/>
      <c r="D503" s="159"/>
      <c r="E503" s="158"/>
      <c r="F503" s="155"/>
      <c r="G503" s="155"/>
      <c r="H503" s="155"/>
      <c r="I503" s="157"/>
      <c r="J503" s="155"/>
      <c r="K503" s="155"/>
      <c r="L503" s="171"/>
    </row>
    <row r="504" spans="3:12" s="30" customFormat="1" x14ac:dyDescent="0.2">
      <c r="C504" s="158"/>
      <c r="D504" s="159"/>
      <c r="E504" s="158"/>
      <c r="F504" s="155"/>
      <c r="G504" s="155"/>
      <c r="H504" s="155"/>
      <c r="I504" s="157"/>
      <c r="J504" s="155"/>
      <c r="K504" s="155"/>
      <c r="L504" s="171"/>
    </row>
    <row r="505" spans="3:12" s="30" customFormat="1" x14ac:dyDescent="0.2">
      <c r="C505" s="158"/>
      <c r="D505" s="159"/>
      <c r="E505" s="158"/>
      <c r="F505" s="155"/>
      <c r="G505" s="155"/>
      <c r="H505" s="155"/>
      <c r="I505" s="157"/>
      <c r="J505" s="155"/>
      <c r="K505" s="155"/>
      <c r="L505" s="171"/>
    </row>
    <row r="506" spans="3:12" s="30" customFormat="1" x14ac:dyDescent="0.2">
      <c r="C506" s="158"/>
      <c r="D506" s="159"/>
      <c r="E506" s="158"/>
      <c r="F506" s="155"/>
      <c r="G506" s="155"/>
      <c r="H506" s="155"/>
      <c r="I506" s="157"/>
      <c r="J506" s="155"/>
      <c r="K506" s="155"/>
      <c r="L506" s="171"/>
    </row>
    <row r="507" spans="3:12" s="30" customFormat="1" x14ac:dyDescent="0.2">
      <c r="C507" s="158"/>
      <c r="D507" s="159"/>
      <c r="E507" s="158"/>
      <c r="F507" s="155"/>
      <c r="G507" s="155"/>
      <c r="H507" s="155"/>
      <c r="I507" s="157"/>
      <c r="J507" s="155"/>
      <c r="K507" s="155"/>
      <c r="L507" s="171"/>
    </row>
    <row r="508" spans="3:12" s="30" customFormat="1" x14ac:dyDescent="0.2">
      <c r="C508" s="158"/>
      <c r="D508" s="159"/>
      <c r="E508" s="158"/>
      <c r="F508" s="155"/>
      <c r="G508" s="155"/>
      <c r="H508" s="155"/>
      <c r="I508" s="157"/>
      <c r="J508" s="155"/>
      <c r="K508" s="155"/>
      <c r="L508" s="171"/>
    </row>
    <row r="509" spans="3:12" s="30" customFormat="1" x14ac:dyDescent="0.2">
      <c r="C509" s="158"/>
      <c r="D509" s="159"/>
      <c r="E509" s="158"/>
      <c r="F509" s="155"/>
      <c r="G509" s="155"/>
      <c r="H509" s="155"/>
      <c r="I509" s="157"/>
      <c r="J509" s="155"/>
      <c r="K509" s="155"/>
      <c r="L509" s="171"/>
    </row>
    <row r="510" spans="3:12" s="30" customFormat="1" x14ac:dyDescent="0.2">
      <c r="C510" s="158"/>
      <c r="D510" s="159"/>
      <c r="E510" s="158"/>
      <c r="F510" s="155"/>
      <c r="G510" s="155"/>
      <c r="H510" s="155"/>
      <c r="I510" s="157"/>
      <c r="J510" s="155"/>
      <c r="K510" s="155"/>
      <c r="L510" s="171"/>
    </row>
    <row r="511" spans="3:12" s="30" customFormat="1" x14ac:dyDescent="0.2">
      <c r="C511" s="158"/>
      <c r="D511" s="159"/>
      <c r="E511" s="158"/>
      <c r="F511" s="155"/>
      <c r="G511" s="155"/>
      <c r="H511" s="155"/>
      <c r="I511" s="157"/>
      <c r="J511" s="155"/>
      <c r="K511" s="155"/>
      <c r="L511" s="171"/>
    </row>
    <row r="512" spans="3:12" s="30" customFormat="1" x14ac:dyDescent="0.2">
      <c r="C512" s="158"/>
      <c r="D512" s="159"/>
      <c r="E512" s="158"/>
      <c r="F512" s="155"/>
      <c r="G512" s="155"/>
      <c r="H512" s="155"/>
      <c r="I512" s="157"/>
      <c r="J512" s="155"/>
      <c r="K512" s="155"/>
      <c r="L512" s="171"/>
    </row>
    <row r="513" spans="3:12" s="30" customFormat="1" x14ac:dyDescent="0.2">
      <c r="C513" s="158"/>
      <c r="D513" s="159"/>
      <c r="E513" s="158"/>
      <c r="F513" s="155"/>
      <c r="G513" s="155"/>
      <c r="H513" s="155"/>
      <c r="I513" s="157"/>
      <c r="J513" s="155"/>
      <c r="K513" s="155"/>
      <c r="L513" s="171"/>
    </row>
    <row r="514" spans="3:12" s="30" customFormat="1" x14ac:dyDescent="0.2">
      <c r="C514" s="158"/>
      <c r="D514" s="159"/>
      <c r="E514" s="158"/>
      <c r="F514" s="155"/>
      <c r="G514" s="155"/>
      <c r="H514" s="155"/>
      <c r="I514" s="157"/>
      <c r="J514" s="155"/>
      <c r="K514" s="155"/>
      <c r="L514" s="171"/>
    </row>
    <row r="515" spans="3:12" s="30" customFormat="1" x14ac:dyDescent="0.2">
      <c r="C515" s="158"/>
      <c r="D515" s="159"/>
      <c r="E515" s="158"/>
      <c r="F515" s="155"/>
      <c r="G515" s="155"/>
      <c r="H515" s="155"/>
      <c r="I515" s="157"/>
      <c r="J515" s="155"/>
      <c r="K515" s="155"/>
      <c r="L515" s="171"/>
    </row>
    <row r="516" spans="3:12" s="30" customFormat="1" x14ac:dyDescent="0.2">
      <c r="C516" s="158"/>
      <c r="D516" s="159"/>
      <c r="E516" s="158"/>
      <c r="F516" s="155"/>
      <c r="G516" s="155"/>
      <c r="H516" s="155"/>
      <c r="I516" s="157"/>
      <c r="J516" s="155"/>
      <c r="K516" s="155"/>
      <c r="L516" s="171"/>
    </row>
    <row r="517" spans="3:12" s="30" customFormat="1" x14ac:dyDescent="0.2">
      <c r="C517" s="158"/>
      <c r="D517" s="159"/>
      <c r="E517" s="158"/>
      <c r="F517" s="155"/>
      <c r="G517" s="155"/>
      <c r="H517" s="155"/>
      <c r="I517" s="157"/>
      <c r="J517" s="155"/>
      <c r="K517" s="155"/>
      <c r="L517" s="171"/>
    </row>
    <row r="518" spans="3:12" s="30" customFormat="1" x14ac:dyDescent="0.2">
      <c r="C518" s="158"/>
      <c r="D518" s="159"/>
      <c r="E518" s="158"/>
      <c r="F518" s="155"/>
      <c r="G518" s="155"/>
      <c r="H518" s="155"/>
      <c r="I518" s="157"/>
      <c r="J518" s="155"/>
      <c r="K518" s="155"/>
      <c r="L518" s="171"/>
    </row>
    <row r="519" spans="3:12" s="30" customFormat="1" x14ac:dyDescent="0.2">
      <c r="C519" s="158"/>
      <c r="D519" s="159"/>
      <c r="E519" s="158"/>
      <c r="F519" s="155"/>
      <c r="G519" s="155"/>
      <c r="H519" s="155"/>
      <c r="I519" s="157"/>
      <c r="J519" s="155"/>
      <c r="K519" s="155"/>
      <c r="L519" s="171"/>
    </row>
    <row r="520" spans="3:12" s="30" customFormat="1" x14ac:dyDescent="0.2">
      <c r="C520" s="158"/>
      <c r="D520" s="159"/>
      <c r="E520" s="158"/>
      <c r="F520" s="155"/>
      <c r="G520" s="155"/>
      <c r="H520" s="155"/>
      <c r="I520" s="157"/>
      <c r="J520" s="155"/>
      <c r="K520" s="155"/>
      <c r="L520" s="171"/>
    </row>
    <row r="521" spans="3:12" s="30" customFormat="1" x14ac:dyDescent="0.2">
      <c r="C521" s="158"/>
      <c r="D521" s="159"/>
      <c r="E521" s="158"/>
      <c r="F521" s="155"/>
      <c r="G521" s="155"/>
      <c r="H521" s="155"/>
      <c r="I521" s="157"/>
      <c r="J521" s="155"/>
      <c r="K521" s="155"/>
      <c r="L521" s="171"/>
    </row>
    <row r="522" spans="3:12" s="30" customFormat="1" x14ac:dyDescent="0.2">
      <c r="C522" s="158"/>
      <c r="D522" s="159"/>
      <c r="E522" s="158"/>
      <c r="F522" s="155"/>
      <c r="G522" s="155"/>
      <c r="H522" s="155"/>
      <c r="I522" s="157"/>
      <c r="J522" s="155"/>
      <c r="K522" s="155"/>
      <c r="L522" s="171"/>
    </row>
    <row r="523" spans="3:12" s="30" customFormat="1" x14ac:dyDescent="0.2">
      <c r="C523" s="158"/>
      <c r="D523" s="159"/>
      <c r="E523" s="158"/>
      <c r="F523" s="155"/>
      <c r="G523" s="155"/>
      <c r="H523" s="155"/>
      <c r="I523" s="157"/>
      <c r="J523" s="155"/>
      <c r="K523" s="155"/>
      <c r="L523" s="171"/>
    </row>
    <row r="524" spans="3:12" s="30" customFormat="1" x14ac:dyDescent="0.2">
      <c r="C524" s="158"/>
      <c r="D524" s="159"/>
      <c r="E524" s="158"/>
      <c r="F524" s="155"/>
      <c r="G524" s="155"/>
      <c r="H524" s="155"/>
      <c r="I524" s="157"/>
      <c r="J524" s="155"/>
      <c r="K524" s="155"/>
      <c r="L524" s="171"/>
    </row>
    <row r="525" spans="3:12" s="30" customFormat="1" x14ac:dyDescent="0.2">
      <c r="C525" s="158"/>
      <c r="D525" s="159"/>
      <c r="E525" s="158"/>
      <c r="F525" s="155"/>
      <c r="G525" s="155"/>
      <c r="H525" s="155"/>
      <c r="I525" s="157"/>
      <c r="J525" s="155"/>
      <c r="K525" s="155"/>
      <c r="L525" s="171"/>
    </row>
    <row r="526" spans="3:12" s="30" customFormat="1" x14ac:dyDescent="0.2">
      <c r="C526" s="158"/>
      <c r="D526" s="159"/>
      <c r="E526" s="158"/>
      <c r="F526" s="155"/>
      <c r="G526" s="155"/>
      <c r="H526" s="155"/>
      <c r="I526" s="157"/>
      <c r="J526" s="155"/>
      <c r="K526" s="155"/>
      <c r="L526" s="171"/>
    </row>
    <row r="527" spans="3:12" s="30" customFormat="1" x14ac:dyDescent="0.2">
      <c r="C527" s="158"/>
      <c r="D527" s="159"/>
      <c r="E527" s="158"/>
      <c r="F527" s="155"/>
      <c r="G527" s="155"/>
      <c r="H527" s="155"/>
      <c r="I527" s="157"/>
      <c r="J527" s="155"/>
      <c r="K527" s="155"/>
      <c r="L527" s="171"/>
    </row>
    <row r="528" spans="3:12" s="30" customFormat="1" x14ac:dyDescent="0.2">
      <c r="C528" s="158"/>
      <c r="D528" s="159"/>
      <c r="E528" s="158"/>
      <c r="F528" s="155"/>
      <c r="G528" s="155"/>
      <c r="H528" s="155"/>
      <c r="I528" s="157"/>
      <c r="J528" s="155"/>
      <c r="K528" s="155"/>
      <c r="L528" s="171"/>
    </row>
    <row r="529" spans="3:12" s="30" customFormat="1" x14ac:dyDescent="0.2">
      <c r="C529" s="158"/>
      <c r="D529" s="159"/>
      <c r="E529" s="158"/>
      <c r="F529" s="155"/>
      <c r="G529" s="155"/>
      <c r="H529" s="155"/>
      <c r="I529" s="157"/>
      <c r="J529" s="155"/>
      <c r="K529" s="155"/>
      <c r="L529" s="171"/>
    </row>
    <row r="530" spans="3:12" s="30" customFormat="1" x14ac:dyDescent="0.2">
      <c r="C530" s="158"/>
      <c r="D530" s="159"/>
      <c r="E530" s="158"/>
      <c r="F530" s="155"/>
      <c r="G530" s="155"/>
      <c r="H530" s="155"/>
      <c r="I530" s="157"/>
      <c r="J530" s="155"/>
      <c r="K530" s="155"/>
      <c r="L530" s="171"/>
    </row>
    <row r="531" spans="3:12" s="30" customFormat="1" x14ac:dyDescent="0.2">
      <c r="C531" s="158"/>
      <c r="D531" s="159"/>
      <c r="E531" s="158"/>
      <c r="F531" s="155"/>
      <c r="G531" s="155"/>
      <c r="H531" s="155"/>
      <c r="I531" s="157"/>
      <c r="J531" s="155"/>
      <c r="K531" s="155"/>
      <c r="L531" s="171"/>
    </row>
    <row r="532" spans="3:12" s="30" customFormat="1" x14ac:dyDescent="0.2">
      <c r="C532" s="158"/>
      <c r="D532" s="159"/>
      <c r="E532" s="158"/>
      <c r="F532" s="155"/>
      <c r="G532" s="155"/>
      <c r="H532" s="155"/>
      <c r="I532" s="157"/>
      <c r="J532" s="155"/>
      <c r="K532" s="155"/>
      <c r="L532" s="171"/>
    </row>
    <row r="533" spans="3:12" s="30" customFormat="1" x14ac:dyDescent="0.2">
      <c r="C533" s="158"/>
      <c r="D533" s="159"/>
      <c r="E533" s="158"/>
      <c r="F533" s="155"/>
      <c r="G533" s="155"/>
      <c r="H533" s="155"/>
      <c r="I533" s="157"/>
      <c r="J533" s="155"/>
      <c r="K533" s="155"/>
      <c r="L533" s="171"/>
    </row>
    <row r="534" spans="3:12" s="30" customFormat="1" x14ac:dyDescent="0.2">
      <c r="C534" s="158"/>
      <c r="D534" s="159"/>
      <c r="E534" s="158"/>
      <c r="F534" s="155"/>
      <c r="G534" s="155"/>
      <c r="H534" s="155"/>
      <c r="I534" s="157"/>
      <c r="J534" s="155"/>
      <c r="K534" s="155"/>
      <c r="L534" s="171"/>
    </row>
    <row r="535" spans="3:12" s="30" customFormat="1" x14ac:dyDescent="0.2">
      <c r="C535" s="158"/>
      <c r="D535" s="159"/>
      <c r="E535" s="158"/>
      <c r="F535" s="155"/>
      <c r="G535" s="155"/>
      <c r="H535" s="155"/>
      <c r="I535" s="157"/>
      <c r="J535" s="155"/>
      <c r="K535" s="155"/>
      <c r="L535" s="171"/>
    </row>
    <row r="536" spans="3:12" s="30" customFormat="1" x14ac:dyDescent="0.2">
      <c r="C536" s="158"/>
      <c r="D536" s="159"/>
      <c r="E536" s="158"/>
      <c r="F536" s="155"/>
      <c r="G536" s="155"/>
      <c r="H536" s="155"/>
      <c r="I536" s="157"/>
      <c r="J536" s="155"/>
      <c r="K536" s="155"/>
      <c r="L536" s="171"/>
    </row>
    <row r="537" spans="3:12" s="30" customFormat="1" x14ac:dyDescent="0.2">
      <c r="C537" s="158"/>
      <c r="D537" s="159"/>
      <c r="E537" s="158"/>
      <c r="F537" s="155"/>
      <c r="G537" s="155"/>
      <c r="H537" s="155"/>
      <c r="I537" s="157"/>
      <c r="J537" s="155"/>
      <c r="K537" s="155"/>
      <c r="L537" s="171"/>
    </row>
    <row r="538" spans="3:12" s="30" customFormat="1" x14ac:dyDescent="0.2">
      <c r="C538" s="158"/>
      <c r="D538" s="159"/>
      <c r="E538" s="158"/>
      <c r="F538" s="155"/>
      <c r="G538" s="155"/>
      <c r="H538" s="155"/>
      <c r="I538" s="157"/>
      <c r="J538" s="155"/>
      <c r="K538" s="155"/>
      <c r="L538" s="171"/>
    </row>
    <row r="539" spans="3:12" s="30" customFormat="1" x14ac:dyDescent="0.2">
      <c r="C539" s="158"/>
      <c r="D539" s="159"/>
      <c r="E539" s="158"/>
      <c r="F539" s="155"/>
      <c r="G539" s="155"/>
      <c r="H539" s="155"/>
      <c r="I539" s="157"/>
      <c r="J539" s="155"/>
      <c r="K539" s="155"/>
      <c r="L539" s="171"/>
    </row>
    <row r="540" spans="3:12" s="30" customFormat="1" x14ac:dyDescent="0.2">
      <c r="C540" s="158"/>
      <c r="D540" s="159"/>
      <c r="E540" s="158"/>
      <c r="F540" s="155"/>
      <c r="G540" s="155"/>
      <c r="H540" s="155"/>
      <c r="I540" s="157"/>
      <c r="J540" s="155"/>
      <c r="K540" s="155"/>
      <c r="L540" s="171"/>
    </row>
    <row r="541" spans="3:12" s="30" customFormat="1" x14ac:dyDescent="0.2">
      <c r="C541" s="158"/>
      <c r="D541" s="159"/>
      <c r="E541" s="158"/>
      <c r="F541" s="155"/>
      <c r="G541" s="155"/>
      <c r="H541" s="155"/>
      <c r="I541" s="157"/>
      <c r="J541" s="155"/>
      <c r="K541" s="155"/>
      <c r="L541" s="171"/>
    </row>
    <row r="542" spans="3:12" s="30" customFormat="1" x14ac:dyDescent="0.2">
      <c r="C542" s="158"/>
      <c r="D542" s="159"/>
      <c r="E542" s="158"/>
      <c r="F542" s="155"/>
      <c r="G542" s="155"/>
      <c r="H542" s="155"/>
      <c r="I542" s="157"/>
      <c r="J542" s="155"/>
      <c r="K542" s="155"/>
      <c r="L542" s="171"/>
    </row>
    <row r="543" spans="3:12" s="30" customFormat="1" x14ac:dyDescent="0.2">
      <c r="C543" s="158"/>
      <c r="D543" s="159"/>
      <c r="E543" s="158"/>
      <c r="F543" s="155"/>
      <c r="G543" s="155"/>
      <c r="H543" s="155"/>
      <c r="I543" s="157"/>
      <c r="J543" s="155"/>
      <c r="K543" s="155"/>
      <c r="L543" s="171"/>
    </row>
    <row r="544" spans="3:12" s="30" customFormat="1" x14ac:dyDescent="0.2">
      <c r="C544" s="158"/>
      <c r="D544" s="159"/>
      <c r="E544" s="158"/>
      <c r="F544" s="155"/>
      <c r="G544" s="155"/>
      <c r="H544" s="155"/>
      <c r="I544" s="157"/>
      <c r="J544" s="155"/>
      <c r="K544" s="155"/>
      <c r="L544" s="171"/>
    </row>
    <row r="545" spans="3:12" s="30" customFormat="1" x14ac:dyDescent="0.2">
      <c r="C545" s="158"/>
      <c r="D545" s="159"/>
      <c r="E545" s="158"/>
      <c r="F545" s="155"/>
      <c r="G545" s="155"/>
      <c r="H545" s="155"/>
      <c r="I545" s="157"/>
      <c r="J545" s="155"/>
      <c r="K545" s="155"/>
      <c r="L545" s="171"/>
    </row>
    <row r="546" spans="3:12" s="30" customFormat="1" x14ac:dyDescent="0.2">
      <c r="C546" s="158"/>
      <c r="D546" s="159"/>
      <c r="E546" s="158"/>
      <c r="F546" s="155"/>
      <c r="G546" s="155"/>
      <c r="H546" s="155"/>
      <c r="I546" s="157"/>
      <c r="J546" s="155"/>
      <c r="K546" s="155"/>
      <c r="L546" s="171"/>
    </row>
    <row r="547" spans="3:12" s="30" customFormat="1" x14ac:dyDescent="0.2">
      <c r="C547" s="158"/>
      <c r="D547" s="159"/>
      <c r="E547" s="158"/>
      <c r="F547" s="155"/>
      <c r="G547" s="155"/>
      <c r="H547" s="155"/>
      <c r="I547" s="157"/>
      <c r="J547" s="155"/>
      <c r="K547" s="155"/>
      <c r="L547" s="171"/>
    </row>
    <row r="548" spans="3:12" s="30" customFormat="1" x14ac:dyDescent="0.2">
      <c r="C548" s="158"/>
      <c r="D548" s="159"/>
      <c r="E548" s="158"/>
      <c r="F548" s="155"/>
      <c r="G548" s="155"/>
      <c r="H548" s="155"/>
      <c r="I548" s="157"/>
      <c r="J548" s="155"/>
      <c r="K548" s="155"/>
      <c r="L548" s="171"/>
    </row>
    <row r="549" spans="3:12" s="30" customFormat="1" x14ac:dyDescent="0.2">
      <c r="C549" s="158"/>
      <c r="D549" s="159"/>
      <c r="E549" s="158"/>
      <c r="F549" s="155"/>
      <c r="G549" s="155"/>
      <c r="H549" s="155"/>
      <c r="I549" s="157"/>
      <c r="J549" s="155"/>
      <c r="K549" s="155"/>
      <c r="L549" s="171"/>
    </row>
    <row r="550" spans="3:12" s="30" customFormat="1" x14ac:dyDescent="0.2">
      <c r="C550" s="158"/>
      <c r="D550" s="159"/>
      <c r="E550" s="158"/>
      <c r="F550" s="155"/>
      <c r="G550" s="155"/>
      <c r="H550" s="155"/>
      <c r="I550" s="157"/>
      <c r="J550" s="155"/>
      <c r="K550" s="155"/>
      <c r="L550" s="171"/>
    </row>
    <row r="551" spans="3:12" s="30" customFormat="1" x14ac:dyDescent="0.2">
      <c r="C551" s="158"/>
      <c r="D551" s="159"/>
      <c r="E551" s="158"/>
      <c r="F551" s="155"/>
      <c r="G551" s="155"/>
      <c r="H551" s="155"/>
      <c r="I551" s="157"/>
      <c r="J551" s="155"/>
      <c r="K551" s="155"/>
      <c r="L551" s="171"/>
    </row>
    <row r="552" spans="3:12" s="30" customFormat="1" x14ac:dyDescent="0.2">
      <c r="C552" s="158"/>
      <c r="D552" s="159"/>
      <c r="E552" s="158"/>
      <c r="F552" s="155"/>
      <c r="G552" s="155"/>
      <c r="H552" s="155"/>
      <c r="I552" s="157"/>
      <c r="J552" s="155"/>
      <c r="K552" s="155"/>
      <c r="L552" s="171"/>
    </row>
    <row r="553" spans="3:12" s="30" customFormat="1" x14ac:dyDescent="0.2">
      <c r="C553" s="158"/>
      <c r="D553" s="159"/>
      <c r="E553" s="158"/>
      <c r="F553" s="155"/>
      <c r="G553" s="155"/>
      <c r="H553" s="155"/>
      <c r="I553" s="157"/>
      <c r="J553" s="155"/>
      <c r="K553" s="155"/>
      <c r="L553" s="171"/>
    </row>
    <row r="554" spans="3:12" s="30" customFormat="1" x14ac:dyDescent="0.2">
      <c r="C554" s="158"/>
      <c r="D554" s="159"/>
      <c r="E554" s="158"/>
      <c r="F554" s="155"/>
      <c r="G554" s="155"/>
      <c r="H554" s="155"/>
      <c r="I554" s="157"/>
      <c r="J554" s="155"/>
      <c r="K554" s="155"/>
      <c r="L554" s="171"/>
    </row>
    <row r="555" spans="3:12" s="30" customFormat="1" x14ac:dyDescent="0.2">
      <c r="C555" s="158"/>
      <c r="D555" s="159"/>
      <c r="E555" s="158"/>
      <c r="F555" s="155"/>
      <c r="G555" s="155"/>
      <c r="H555" s="155"/>
      <c r="I555" s="157"/>
      <c r="J555" s="155"/>
      <c r="K555" s="155"/>
      <c r="L555" s="171"/>
    </row>
    <row r="556" spans="3:12" s="30" customFormat="1" x14ac:dyDescent="0.2">
      <c r="C556" s="158"/>
      <c r="D556" s="159"/>
      <c r="E556" s="158"/>
      <c r="F556" s="155"/>
      <c r="G556" s="155"/>
      <c r="H556" s="155"/>
      <c r="I556" s="157"/>
      <c r="J556" s="155"/>
      <c r="K556" s="155"/>
      <c r="L556" s="171"/>
    </row>
    <row r="557" spans="3:12" s="30" customFormat="1" x14ac:dyDescent="0.2">
      <c r="C557" s="158"/>
      <c r="D557" s="159"/>
      <c r="E557" s="158"/>
      <c r="F557" s="155"/>
      <c r="G557" s="155"/>
      <c r="H557" s="155"/>
      <c r="I557" s="157"/>
      <c r="J557" s="155"/>
      <c r="K557" s="155"/>
      <c r="L557" s="171"/>
    </row>
    <row r="558" spans="3:12" s="30" customFormat="1" x14ac:dyDescent="0.2">
      <c r="C558" s="158"/>
      <c r="D558" s="159"/>
      <c r="E558" s="158"/>
      <c r="F558" s="155"/>
      <c r="G558" s="155"/>
      <c r="H558" s="155"/>
      <c r="I558" s="157"/>
      <c r="J558" s="155"/>
      <c r="K558" s="155"/>
      <c r="L558" s="171"/>
    </row>
    <row r="559" spans="3:12" s="30" customFormat="1" x14ac:dyDescent="0.2">
      <c r="C559" s="158"/>
      <c r="D559" s="159"/>
      <c r="E559" s="158"/>
      <c r="F559" s="155"/>
      <c r="G559" s="155"/>
      <c r="H559" s="155"/>
      <c r="I559" s="157"/>
      <c r="J559" s="155"/>
      <c r="K559" s="155"/>
      <c r="L559" s="171"/>
    </row>
    <row r="560" spans="3:12" s="30" customFormat="1" x14ac:dyDescent="0.2">
      <c r="C560" s="158"/>
      <c r="D560" s="159"/>
      <c r="E560" s="158"/>
      <c r="F560" s="155"/>
      <c r="G560" s="155"/>
      <c r="H560" s="155"/>
      <c r="I560" s="157"/>
      <c r="J560" s="155"/>
      <c r="K560" s="155"/>
      <c r="L560" s="171"/>
    </row>
    <row r="561" spans="3:12" s="30" customFormat="1" x14ac:dyDescent="0.2">
      <c r="C561" s="158"/>
      <c r="D561" s="159"/>
      <c r="E561" s="158"/>
      <c r="F561" s="155"/>
      <c r="G561" s="155"/>
      <c r="H561" s="155"/>
      <c r="I561" s="157"/>
      <c r="J561" s="155"/>
      <c r="K561" s="155"/>
      <c r="L561" s="171"/>
    </row>
    <row r="562" spans="3:12" s="30" customFormat="1" x14ac:dyDescent="0.2">
      <c r="C562" s="158"/>
      <c r="D562" s="159"/>
      <c r="E562" s="158"/>
      <c r="F562" s="155"/>
      <c r="G562" s="155"/>
      <c r="H562" s="155"/>
      <c r="I562" s="157"/>
      <c r="J562" s="155"/>
      <c r="K562" s="155"/>
      <c r="L562" s="171"/>
    </row>
    <row r="563" spans="3:12" s="30" customFormat="1" x14ac:dyDescent="0.2">
      <c r="C563" s="158"/>
      <c r="D563" s="159"/>
      <c r="E563" s="158"/>
      <c r="F563" s="155"/>
      <c r="G563" s="155"/>
      <c r="H563" s="155"/>
      <c r="I563" s="157"/>
      <c r="J563" s="155"/>
      <c r="K563" s="155"/>
      <c r="L563" s="171"/>
    </row>
    <row r="564" spans="3:12" s="30" customFormat="1" x14ac:dyDescent="0.2">
      <c r="C564" s="158"/>
      <c r="D564" s="159"/>
      <c r="E564" s="158"/>
      <c r="F564" s="155"/>
      <c r="G564" s="155"/>
      <c r="H564" s="155"/>
      <c r="I564" s="157"/>
      <c r="J564" s="155"/>
      <c r="K564" s="155"/>
      <c r="L564" s="171"/>
    </row>
    <row r="565" spans="3:12" s="30" customFormat="1" x14ac:dyDescent="0.2">
      <c r="C565" s="158"/>
      <c r="D565" s="159"/>
      <c r="E565" s="158"/>
      <c r="F565" s="155"/>
      <c r="G565" s="155"/>
      <c r="H565" s="155"/>
      <c r="I565" s="157"/>
      <c r="J565" s="155"/>
      <c r="K565" s="155"/>
      <c r="L565" s="171"/>
    </row>
    <row r="566" spans="3:12" s="30" customFormat="1" x14ac:dyDescent="0.2">
      <c r="C566" s="158"/>
      <c r="D566" s="159"/>
      <c r="E566" s="158"/>
      <c r="F566" s="155"/>
      <c r="G566" s="155"/>
      <c r="H566" s="155"/>
      <c r="I566" s="157"/>
      <c r="J566" s="155"/>
      <c r="K566" s="155"/>
      <c r="L566" s="171"/>
    </row>
    <row r="567" spans="3:12" s="30" customFormat="1" x14ac:dyDescent="0.2">
      <c r="C567" s="158"/>
      <c r="D567" s="159"/>
      <c r="E567" s="158"/>
      <c r="F567" s="155"/>
      <c r="G567" s="155"/>
      <c r="H567" s="155"/>
      <c r="I567" s="157"/>
      <c r="J567" s="155"/>
      <c r="K567" s="155"/>
      <c r="L567" s="171"/>
    </row>
    <row r="568" spans="3:12" s="30" customFormat="1" x14ac:dyDescent="0.2">
      <c r="C568" s="158"/>
      <c r="D568" s="159"/>
      <c r="E568" s="158"/>
      <c r="F568" s="155"/>
      <c r="G568" s="155"/>
      <c r="H568" s="155"/>
      <c r="I568" s="157"/>
      <c r="J568" s="155"/>
      <c r="K568" s="155"/>
      <c r="L568" s="171"/>
    </row>
    <row r="569" spans="3:12" s="30" customFormat="1" x14ac:dyDescent="0.2">
      <c r="C569" s="158"/>
      <c r="D569" s="159"/>
      <c r="E569" s="158"/>
      <c r="F569" s="155"/>
      <c r="G569" s="155"/>
      <c r="H569" s="155"/>
      <c r="I569" s="157"/>
      <c r="J569" s="155"/>
      <c r="K569" s="155"/>
      <c r="L569" s="171"/>
    </row>
    <row r="570" spans="3:12" s="30" customFormat="1" x14ac:dyDescent="0.2">
      <c r="C570" s="158"/>
      <c r="D570" s="159"/>
      <c r="E570" s="158"/>
      <c r="F570" s="155"/>
      <c r="G570" s="155"/>
      <c r="H570" s="155"/>
      <c r="I570" s="157"/>
      <c r="J570" s="155"/>
      <c r="K570" s="155"/>
      <c r="L570" s="171"/>
    </row>
    <row r="571" spans="3:12" s="30" customFormat="1" x14ac:dyDescent="0.2">
      <c r="C571" s="158"/>
      <c r="D571" s="159"/>
      <c r="E571" s="158"/>
      <c r="F571" s="155"/>
      <c r="G571" s="155"/>
      <c r="H571" s="155"/>
      <c r="I571" s="157"/>
      <c r="J571" s="155"/>
      <c r="K571" s="155"/>
      <c r="L571" s="171"/>
    </row>
    <row r="572" spans="3:12" s="30" customFormat="1" x14ac:dyDescent="0.2">
      <c r="C572" s="158"/>
      <c r="D572" s="159"/>
      <c r="E572" s="158"/>
      <c r="F572" s="155"/>
      <c r="G572" s="155"/>
      <c r="H572" s="155"/>
      <c r="I572" s="157"/>
      <c r="J572" s="155"/>
      <c r="K572" s="155"/>
      <c r="L572" s="171"/>
    </row>
    <row r="573" spans="3:12" s="30" customFormat="1" x14ac:dyDescent="0.2">
      <c r="C573" s="158"/>
      <c r="D573" s="159"/>
      <c r="E573" s="158"/>
      <c r="F573" s="155"/>
      <c r="G573" s="155"/>
      <c r="H573" s="155"/>
      <c r="I573" s="157"/>
      <c r="J573" s="155"/>
      <c r="K573" s="155"/>
      <c r="L573" s="171"/>
    </row>
    <row r="574" spans="3:12" s="30" customFormat="1" x14ac:dyDescent="0.2">
      <c r="C574" s="158"/>
      <c r="D574" s="159"/>
      <c r="E574" s="158"/>
      <c r="F574" s="155"/>
      <c r="G574" s="155"/>
      <c r="H574" s="155"/>
      <c r="I574" s="157"/>
      <c r="J574" s="155"/>
      <c r="K574" s="155"/>
      <c r="L574" s="171"/>
    </row>
    <row r="575" spans="3:12" s="30" customFormat="1" x14ac:dyDescent="0.2">
      <c r="C575" s="158"/>
      <c r="D575" s="159"/>
      <c r="E575" s="158"/>
      <c r="F575" s="155"/>
      <c r="G575" s="155"/>
      <c r="H575" s="155"/>
      <c r="I575" s="157"/>
      <c r="J575" s="155"/>
      <c r="K575" s="155"/>
      <c r="L575" s="171"/>
    </row>
    <row r="576" spans="3:12" s="30" customFormat="1" x14ac:dyDescent="0.2">
      <c r="C576" s="158"/>
      <c r="D576" s="159"/>
      <c r="E576" s="158"/>
      <c r="F576" s="155"/>
      <c r="G576" s="155"/>
      <c r="H576" s="155"/>
      <c r="I576" s="157"/>
      <c r="J576" s="155"/>
      <c r="K576" s="155"/>
      <c r="L576" s="171"/>
    </row>
    <row r="577" spans="3:12" s="30" customFormat="1" x14ac:dyDescent="0.2">
      <c r="C577" s="158"/>
      <c r="D577" s="159"/>
      <c r="E577" s="158"/>
      <c r="F577" s="155"/>
      <c r="G577" s="155"/>
      <c r="H577" s="155"/>
      <c r="I577" s="157"/>
      <c r="J577" s="155"/>
      <c r="K577" s="155"/>
      <c r="L577" s="171"/>
    </row>
    <row r="578" spans="3:12" s="30" customFormat="1" x14ac:dyDescent="0.2">
      <c r="C578" s="158"/>
      <c r="D578" s="159"/>
      <c r="E578" s="158"/>
      <c r="F578" s="155"/>
      <c r="G578" s="155"/>
      <c r="H578" s="155"/>
      <c r="I578" s="157"/>
      <c r="J578" s="155"/>
      <c r="K578" s="155"/>
      <c r="L578" s="171"/>
    </row>
    <row r="579" spans="3:12" s="30" customFormat="1" x14ac:dyDescent="0.2">
      <c r="C579" s="158"/>
      <c r="D579" s="159"/>
      <c r="E579" s="158"/>
      <c r="F579" s="155"/>
      <c r="G579" s="155"/>
      <c r="H579" s="155"/>
      <c r="I579" s="157"/>
      <c r="J579" s="155"/>
      <c r="K579" s="155"/>
      <c r="L579" s="171"/>
    </row>
    <row r="580" spans="3:12" s="30" customFormat="1" x14ac:dyDescent="0.2">
      <c r="C580" s="158"/>
      <c r="D580" s="159"/>
      <c r="E580" s="158"/>
      <c r="F580" s="155"/>
      <c r="G580" s="155"/>
      <c r="H580" s="155"/>
      <c r="I580" s="157"/>
      <c r="J580" s="155"/>
      <c r="K580" s="155"/>
      <c r="L580" s="171"/>
    </row>
    <row r="581" spans="3:12" s="30" customFormat="1" x14ac:dyDescent="0.2">
      <c r="C581" s="158"/>
      <c r="D581" s="159"/>
      <c r="E581" s="158"/>
      <c r="F581" s="155"/>
      <c r="G581" s="155"/>
      <c r="H581" s="155"/>
      <c r="I581" s="157"/>
      <c r="J581" s="155"/>
      <c r="K581" s="155"/>
      <c r="L581" s="171"/>
    </row>
    <row r="582" spans="3:12" s="30" customFormat="1" x14ac:dyDescent="0.2">
      <c r="C582" s="158"/>
      <c r="D582" s="159"/>
      <c r="E582" s="158"/>
      <c r="F582" s="155"/>
      <c r="G582" s="155"/>
      <c r="H582" s="155"/>
      <c r="I582" s="157"/>
      <c r="J582" s="155"/>
      <c r="K582" s="155"/>
      <c r="L582" s="171"/>
    </row>
    <row r="583" spans="3:12" s="30" customFormat="1" x14ac:dyDescent="0.2">
      <c r="C583" s="158"/>
      <c r="D583" s="159"/>
      <c r="E583" s="158"/>
      <c r="F583" s="155"/>
      <c r="G583" s="155"/>
      <c r="H583" s="155"/>
      <c r="I583" s="157"/>
      <c r="J583" s="155"/>
      <c r="K583" s="155"/>
      <c r="L583" s="171"/>
    </row>
    <row r="584" spans="3:12" s="30" customFormat="1" x14ac:dyDescent="0.2">
      <c r="C584" s="158"/>
      <c r="D584" s="159"/>
      <c r="E584" s="158"/>
      <c r="F584" s="155"/>
      <c r="G584" s="155"/>
      <c r="H584" s="155"/>
      <c r="I584" s="157"/>
      <c r="J584" s="155"/>
      <c r="K584" s="155"/>
      <c r="L584" s="171"/>
    </row>
    <row r="585" spans="3:12" s="30" customFormat="1" x14ac:dyDescent="0.2">
      <c r="C585" s="158"/>
      <c r="D585" s="159"/>
      <c r="E585" s="158"/>
      <c r="F585" s="155"/>
      <c r="G585" s="155"/>
      <c r="H585" s="155"/>
      <c r="I585" s="157"/>
      <c r="J585" s="155"/>
      <c r="K585" s="155"/>
      <c r="L585" s="171"/>
    </row>
    <row r="586" spans="3:12" s="30" customFormat="1" x14ac:dyDescent="0.2">
      <c r="C586" s="158"/>
      <c r="D586" s="159"/>
      <c r="E586" s="158"/>
      <c r="F586" s="155"/>
      <c r="G586" s="155"/>
      <c r="H586" s="155"/>
      <c r="I586" s="157"/>
      <c r="J586" s="155"/>
      <c r="K586" s="155"/>
      <c r="L586" s="171"/>
    </row>
    <row r="587" spans="3:12" s="30" customFormat="1" x14ac:dyDescent="0.2">
      <c r="C587" s="158"/>
      <c r="D587" s="159"/>
      <c r="E587" s="158"/>
      <c r="F587" s="155"/>
      <c r="G587" s="155"/>
      <c r="H587" s="155"/>
      <c r="I587" s="157"/>
      <c r="J587" s="155"/>
      <c r="K587" s="155"/>
      <c r="L587" s="171"/>
    </row>
    <row r="588" spans="3:12" s="30" customFormat="1" x14ac:dyDescent="0.2">
      <c r="C588" s="158"/>
      <c r="D588" s="159"/>
      <c r="E588" s="158"/>
      <c r="F588" s="155"/>
      <c r="G588" s="155"/>
      <c r="H588" s="155"/>
      <c r="I588" s="157"/>
      <c r="J588" s="155"/>
      <c r="K588" s="155"/>
      <c r="L588" s="171"/>
    </row>
    <row r="589" spans="3:12" s="30" customFormat="1" x14ac:dyDescent="0.2">
      <c r="C589" s="158"/>
      <c r="D589" s="159"/>
      <c r="E589" s="158"/>
      <c r="F589" s="155"/>
      <c r="G589" s="155"/>
      <c r="H589" s="155"/>
      <c r="I589" s="157"/>
      <c r="J589" s="155"/>
      <c r="K589" s="155"/>
      <c r="L589" s="171"/>
    </row>
    <row r="590" spans="3:12" s="30" customFormat="1" x14ac:dyDescent="0.2">
      <c r="C590" s="158"/>
      <c r="D590" s="159"/>
      <c r="E590" s="158"/>
      <c r="F590" s="155"/>
      <c r="G590" s="155"/>
      <c r="H590" s="155"/>
      <c r="I590" s="157"/>
      <c r="J590" s="155"/>
      <c r="K590" s="155"/>
      <c r="L590" s="171"/>
    </row>
    <row r="591" spans="3:12" s="30" customFormat="1" x14ac:dyDescent="0.2">
      <c r="C591" s="158"/>
      <c r="D591" s="159"/>
      <c r="E591" s="158"/>
      <c r="F591" s="155"/>
      <c r="G591" s="155"/>
      <c r="H591" s="155"/>
      <c r="I591" s="157"/>
      <c r="J591" s="155"/>
      <c r="K591" s="155"/>
      <c r="L591" s="171"/>
    </row>
    <row r="592" spans="3:12" s="30" customFormat="1" x14ac:dyDescent="0.2">
      <c r="C592" s="158"/>
      <c r="D592" s="159"/>
      <c r="E592" s="158"/>
      <c r="F592" s="155"/>
      <c r="G592" s="155"/>
      <c r="H592" s="155"/>
      <c r="I592" s="157"/>
      <c r="J592" s="155"/>
      <c r="K592" s="155"/>
      <c r="L592" s="171"/>
    </row>
    <row r="593" spans="3:12" s="30" customFormat="1" x14ac:dyDescent="0.2">
      <c r="C593" s="158"/>
      <c r="D593" s="159"/>
      <c r="E593" s="158"/>
      <c r="F593" s="155"/>
      <c r="G593" s="155"/>
      <c r="H593" s="155"/>
      <c r="I593" s="157"/>
      <c r="J593" s="155"/>
      <c r="K593" s="155"/>
      <c r="L593" s="171"/>
    </row>
    <row r="594" spans="3:12" s="30" customFormat="1" x14ac:dyDescent="0.2">
      <c r="C594" s="158"/>
      <c r="D594" s="159"/>
      <c r="E594" s="158"/>
      <c r="F594" s="155"/>
      <c r="G594" s="155"/>
      <c r="H594" s="155"/>
      <c r="I594" s="157"/>
      <c r="J594" s="155"/>
      <c r="K594" s="155"/>
      <c r="L594" s="171"/>
    </row>
    <row r="595" spans="3:12" s="30" customFormat="1" x14ac:dyDescent="0.2">
      <c r="C595" s="158"/>
      <c r="D595" s="159"/>
      <c r="E595" s="158"/>
      <c r="F595" s="155"/>
      <c r="G595" s="155"/>
      <c r="H595" s="155"/>
      <c r="I595" s="157"/>
      <c r="J595" s="155"/>
      <c r="K595" s="155"/>
      <c r="L595" s="171"/>
    </row>
    <row r="596" spans="3:12" s="30" customFormat="1" x14ac:dyDescent="0.2">
      <c r="C596" s="158"/>
      <c r="D596" s="159"/>
      <c r="E596" s="158"/>
      <c r="F596" s="155"/>
      <c r="G596" s="155"/>
      <c r="H596" s="155"/>
      <c r="I596" s="157"/>
      <c r="J596" s="155"/>
      <c r="K596" s="155"/>
      <c r="L596" s="171"/>
    </row>
    <row r="597" spans="3:12" s="30" customFormat="1" x14ac:dyDescent="0.2">
      <c r="C597" s="158"/>
      <c r="D597" s="159"/>
      <c r="E597" s="158"/>
      <c r="F597" s="155"/>
      <c r="G597" s="155"/>
      <c r="H597" s="155"/>
      <c r="I597" s="157"/>
      <c r="J597" s="155"/>
      <c r="K597" s="155"/>
      <c r="L597" s="171"/>
    </row>
    <row r="598" spans="3:12" s="30" customFormat="1" x14ac:dyDescent="0.2">
      <c r="C598" s="158"/>
      <c r="D598" s="159"/>
      <c r="E598" s="158"/>
      <c r="F598" s="155"/>
      <c r="G598" s="155"/>
      <c r="H598" s="155"/>
      <c r="I598" s="157"/>
      <c r="J598" s="155"/>
      <c r="K598" s="155"/>
      <c r="L598" s="171"/>
    </row>
    <row r="599" spans="3:12" s="30" customFormat="1" x14ac:dyDescent="0.2">
      <c r="C599" s="158"/>
      <c r="D599" s="159"/>
      <c r="E599" s="158"/>
      <c r="F599" s="155"/>
      <c r="G599" s="155"/>
      <c r="H599" s="155"/>
      <c r="I599" s="157"/>
      <c r="J599" s="155"/>
      <c r="K599" s="155"/>
      <c r="L599" s="171"/>
    </row>
    <row r="600" spans="3:12" s="30" customFormat="1" x14ac:dyDescent="0.2">
      <c r="C600" s="158"/>
      <c r="D600" s="159"/>
      <c r="E600" s="158"/>
      <c r="F600" s="155"/>
      <c r="G600" s="155"/>
      <c r="H600" s="155"/>
      <c r="I600" s="157"/>
      <c r="J600" s="155"/>
      <c r="K600" s="155"/>
      <c r="L600" s="171"/>
    </row>
    <row r="601" spans="3:12" s="30" customFormat="1" x14ac:dyDescent="0.2">
      <c r="C601" s="158"/>
      <c r="D601" s="159"/>
      <c r="E601" s="158"/>
      <c r="F601" s="155"/>
      <c r="G601" s="155"/>
      <c r="H601" s="155"/>
      <c r="I601" s="157"/>
      <c r="J601" s="155"/>
      <c r="K601" s="155"/>
      <c r="L601" s="171"/>
    </row>
    <row r="602" spans="3:12" s="30" customFormat="1" x14ac:dyDescent="0.2">
      <c r="C602" s="158"/>
      <c r="D602" s="159"/>
      <c r="E602" s="158"/>
      <c r="F602" s="155"/>
      <c r="G602" s="155"/>
      <c r="H602" s="155"/>
      <c r="I602" s="157"/>
      <c r="J602" s="155"/>
      <c r="K602" s="155"/>
      <c r="L602" s="171"/>
    </row>
    <row r="603" spans="3:12" s="30" customFormat="1" x14ac:dyDescent="0.2">
      <c r="C603" s="158"/>
      <c r="D603" s="159"/>
      <c r="E603" s="158"/>
      <c r="F603" s="155"/>
      <c r="G603" s="155"/>
      <c r="H603" s="155"/>
      <c r="I603" s="157"/>
      <c r="J603" s="155"/>
      <c r="K603" s="155"/>
      <c r="L603" s="171"/>
    </row>
    <row r="604" spans="3:12" s="30" customFormat="1" x14ac:dyDescent="0.2">
      <c r="C604" s="158"/>
      <c r="D604" s="159"/>
      <c r="E604" s="158"/>
      <c r="F604" s="155"/>
      <c r="G604" s="155"/>
      <c r="H604" s="155"/>
      <c r="I604" s="157"/>
      <c r="J604" s="155"/>
      <c r="K604" s="155"/>
      <c r="L604" s="171"/>
    </row>
    <row r="605" spans="3:12" s="30" customFormat="1" x14ac:dyDescent="0.2">
      <c r="C605" s="158"/>
      <c r="D605" s="159"/>
      <c r="E605" s="158"/>
      <c r="F605" s="155"/>
      <c r="G605" s="155"/>
      <c r="H605" s="155"/>
      <c r="I605" s="157"/>
      <c r="J605" s="155"/>
      <c r="K605" s="155"/>
      <c r="L605" s="171"/>
    </row>
    <row r="606" spans="3:12" s="30" customFormat="1" x14ac:dyDescent="0.2">
      <c r="C606" s="158"/>
      <c r="D606" s="159"/>
      <c r="E606" s="158"/>
      <c r="F606" s="155"/>
      <c r="G606" s="155"/>
      <c r="H606" s="155"/>
      <c r="I606" s="157"/>
      <c r="J606" s="155"/>
      <c r="K606" s="155"/>
      <c r="L606" s="171"/>
    </row>
    <row r="607" spans="3:12" s="30" customFormat="1" x14ac:dyDescent="0.2">
      <c r="C607" s="158"/>
      <c r="D607" s="159"/>
      <c r="E607" s="158"/>
      <c r="F607" s="155"/>
      <c r="G607" s="155"/>
      <c r="H607" s="155"/>
      <c r="I607" s="157"/>
      <c r="J607" s="155"/>
      <c r="K607" s="155"/>
      <c r="L607" s="171"/>
    </row>
    <row r="608" spans="3:12" s="30" customFormat="1" x14ac:dyDescent="0.2">
      <c r="C608" s="158"/>
      <c r="D608" s="159"/>
      <c r="E608" s="158"/>
      <c r="F608" s="155"/>
      <c r="G608" s="155"/>
      <c r="H608" s="155"/>
      <c r="I608" s="157"/>
      <c r="J608" s="155"/>
      <c r="K608" s="155"/>
      <c r="L608" s="171"/>
    </row>
    <row r="609" spans="3:12" s="30" customFormat="1" x14ac:dyDescent="0.2">
      <c r="C609" s="158"/>
      <c r="D609" s="159"/>
      <c r="E609" s="158"/>
      <c r="F609" s="155"/>
      <c r="G609" s="155"/>
      <c r="H609" s="155"/>
      <c r="I609" s="157"/>
      <c r="J609" s="155"/>
      <c r="K609" s="155"/>
      <c r="L609" s="171"/>
    </row>
    <row r="610" spans="3:12" s="30" customFormat="1" x14ac:dyDescent="0.2">
      <c r="C610" s="158"/>
      <c r="D610" s="159"/>
      <c r="E610" s="158"/>
      <c r="F610" s="155"/>
      <c r="G610" s="155"/>
      <c r="H610" s="155"/>
      <c r="I610" s="157"/>
      <c r="J610" s="155"/>
      <c r="K610" s="155"/>
      <c r="L610" s="171"/>
    </row>
    <row r="611" spans="3:12" s="30" customFormat="1" x14ac:dyDescent="0.2">
      <c r="C611" s="158"/>
      <c r="D611" s="159"/>
      <c r="E611" s="158"/>
      <c r="F611" s="155"/>
      <c r="G611" s="155"/>
      <c r="H611" s="155"/>
      <c r="I611" s="157"/>
      <c r="J611" s="155"/>
      <c r="K611" s="155"/>
      <c r="L611" s="171"/>
    </row>
    <row r="612" spans="3:12" s="30" customFormat="1" x14ac:dyDescent="0.2">
      <c r="C612" s="158"/>
      <c r="D612" s="159"/>
      <c r="E612" s="158"/>
      <c r="F612" s="155"/>
      <c r="G612" s="155"/>
      <c r="H612" s="155"/>
      <c r="I612" s="157"/>
      <c r="J612" s="155"/>
      <c r="K612" s="155"/>
      <c r="L612" s="171"/>
    </row>
    <row r="613" spans="3:12" s="30" customFormat="1" x14ac:dyDescent="0.2">
      <c r="C613" s="158"/>
      <c r="D613" s="159"/>
      <c r="E613" s="158"/>
      <c r="F613" s="155"/>
      <c r="G613" s="155"/>
      <c r="H613" s="155"/>
      <c r="I613" s="157"/>
      <c r="J613" s="155"/>
      <c r="K613" s="155"/>
      <c r="L613" s="171"/>
    </row>
    <row r="614" spans="3:12" s="30" customFormat="1" x14ac:dyDescent="0.2">
      <c r="C614" s="158"/>
      <c r="D614" s="159"/>
      <c r="E614" s="158"/>
      <c r="F614" s="155"/>
      <c r="G614" s="155"/>
      <c r="H614" s="155"/>
      <c r="I614" s="157"/>
      <c r="J614" s="155"/>
      <c r="K614" s="155"/>
      <c r="L614" s="171"/>
    </row>
    <row r="615" spans="3:12" s="30" customFormat="1" x14ac:dyDescent="0.2">
      <c r="C615" s="158"/>
      <c r="D615" s="159"/>
      <c r="E615" s="158"/>
      <c r="F615" s="155"/>
      <c r="G615" s="155"/>
      <c r="H615" s="155"/>
      <c r="I615" s="157"/>
      <c r="J615" s="155"/>
      <c r="K615" s="155"/>
      <c r="L615" s="171"/>
    </row>
    <row r="616" spans="3:12" s="30" customFormat="1" x14ac:dyDescent="0.2">
      <c r="C616" s="158"/>
      <c r="D616" s="159"/>
      <c r="E616" s="158"/>
      <c r="F616" s="155"/>
      <c r="G616" s="155"/>
      <c r="H616" s="155"/>
      <c r="I616" s="157"/>
      <c r="J616" s="155"/>
      <c r="K616" s="155"/>
      <c r="L616" s="171"/>
    </row>
    <row r="617" spans="3:12" s="30" customFormat="1" x14ac:dyDescent="0.2">
      <c r="C617" s="158"/>
      <c r="D617" s="159"/>
      <c r="E617" s="158"/>
      <c r="F617" s="155"/>
      <c r="G617" s="155"/>
      <c r="H617" s="155"/>
      <c r="I617" s="157"/>
      <c r="J617" s="155"/>
      <c r="K617" s="155"/>
      <c r="L617" s="171"/>
    </row>
    <row r="618" spans="3:12" s="30" customFormat="1" x14ac:dyDescent="0.2">
      <c r="C618" s="158"/>
      <c r="D618" s="159"/>
      <c r="E618" s="158"/>
      <c r="F618" s="155"/>
      <c r="G618" s="155"/>
      <c r="H618" s="155"/>
      <c r="I618" s="157"/>
      <c r="J618" s="155"/>
      <c r="K618" s="155"/>
      <c r="L618" s="171"/>
    </row>
    <row r="619" spans="3:12" s="30" customFormat="1" x14ac:dyDescent="0.2">
      <c r="C619" s="158"/>
      <c r="D619" s="159"/>
      <c r="E619" s="158"/>
      <c r="F619" s="155"/>
      <c r="G619" s="155"/>
      <c r="H619" s="155"/>
      <c r="I619" s="157"/>
      <c r="J619" s="155"/>
      <c r="K619" s="155"/>
      <c r="L619" s="171"/>
    </row>
    <row r="620" spans="3:12" s="30" customFormat="1" x14ac:dyDescent="0.2">
      <c r="C620" s="158"/>
      <c r="D620" s="159"/>
      <c r="E620" s="158"/>
      <c r="F620" s="155"/>
      <c r="G620" s="155"/>
      <c r="H620" s="155"/>
      <c r="I620" s="157"/>
      <c r="J620" s="155"/>
      <c r="K620" s="155"/>
      <c r="L620" s="171"/>
    </row>
    <row r="621" spans="3:12" s="30" customFormat="1" x14ac:dyDescent="0.2">
      <c r="C621" s="158"/>
      <c r="D621" s="159"/>
      <c r="E621" s="158"/>
      <c r="F621" s="155"/>
      <c r="G621" s="155"/>
      <c r="H621" s="155"/>
      <c r="I621" s="157"/>
      <c r="J621" s="155"/>
      <c r="K621" s="155"/>
      <c r="L621" s="171"/>
    </row>
    <row r="622" spans="3:12" s="30" customFormat="1" x14ac:dyDescent="0.2">
      <c r="C622" s="158"/>
      <c r="D622" s="159"/>
      <c r="E622" s="158"/>
      <c r="F622" s="155"/>
      <c r="G622" s="155"/>
      <c r="H622" s="155"/>
      <c r="I622" s="157"/>
      <c r="J622" s="155"/>
      <c r="K622" s="155"/>
      <c r="L622" s="171"/>
    </row>
    <row r="623" spans="3:12" s="30" customFormat="1" x14ac:dyDescent="0.2">
      <c r="C623" s="158"/>
      <c r="D623" s="159"/>
      <c r="E623" s="158"/>
      <c r="F623" s="155"/>
      <c r="G623" s="155"/>
      <c r="H623" s="155"/>
      <c r="I623" s="157"/>
      <c r="J623" s="155"/>
      <c r="K623" s="155"/>
      <c r="L623" s="171"/>
    </row>
    <row r="624" spans="3:12" s="30" customFormat="1" x14ac:dyDescent="0.2">
      <c r="C624" s="158"/>
      <c r="D624" s="159"/>
      <c r="E624" s="158"/>
      <c r="F624" s="155"/>
      <c r="G624" s="155"/>
      <c r="H624" s="155"/>
      <c r="I624" s="157"/>
      <c r="J624" s="155"/>
      <c r="K624" s="155"/>
      <c r="L624" s="171"/>
    </row>
    <row r="625" spans="3:12" s="30" customFormat="1" x14ac:dyDescent="0.2">
      <c r="C625" s="158"/>
      <c r="D625" s="159"/>
      <c r="E625" s="158"/>
      <c r="F625" s="155"/>
      <c r="G625" s="155"/>
      <c r="H625" s="155"/>
      <c r="I625" s="157"/>
      <c r="J625" s="155"/>
      <c r="K625" s="155"/>
      <c r="L625" s="171"/>
    </row>
    <row r="626" spans="3:12" s="30" customFormat="1" x14ac:dyDescent="0.2">
      <c r="C626" s="158"/>
      <c r="D626" s="159"/>
      <c r="E626" s="158"/>
      <c r="F626" s="155"/>
      <c r="G626" s="155"/>
      <c r="H626" s="155"/>
      <c r="I626" s="157"/>
      <c r="J626" s="155"/>
      <c r="K626" s="155"/>
      <c r="L626" s="171"/>
    </row>
    <row r="627" spans="3:12" s="30" customFormat="1" x14ac:dyDescent="0.2">
      <c r="C627" s="158"/>
      <c r="D627" s="159"/>
      <c r="E627" s="158"/>
      <c r="F627" s="155"/>
      <c r="G627" s="155"/>
      <c r="H627" s="155"/>
      <c r="I627" s="157"/>
      <c r="J627" s="155"/>
      <c r="K627" s="155"/>
      <c r="L627" s="171"/>
    </row>
    <row r="628" spans="3:12" s="30" customFormat="1" x14ac:dyDescent="0.2">
      <c r="C628" s="158"/>
      <c r="D628" s="159"/>
      <c r="E628" s="158"/>
      <c r="F628" s="155"/>
      <c r="G628" s="155"/>
      <c r="H628" s="155"/>
      <c r="I628" s="157"/>
      <c r="J628" s="155"/>
      <c r="K628" s="155"/>
      <c r="L628" s="171"/>
    </row>
    <row r="629" spans="3:12" s="30" customFormat="1" x14ac:dyDescent="0.2">
      <c r="C629" s="158"/>
      <c r="D629" s="159"/>
      <c r="E629" s="158"/>
      <c r="F629" s="155"/>
      <c r="G629" s="155"/>
      <c r="H629" s="155"/>
      <c r="I629" s="157"/>
      <c r="J629" s="155"/>
      <c r="K629" s="155"/>
      <c r="L629" s="171"/>
    </row>
    <row r="630" spans="3:12" s="30" customFormat="1" x14ac:dyDescent="0.2">
      <c r="C630" s="158"/>
      <c r="D630" s="159"/>
      <c r="E630" s="158"/>
      <c r="F630" s="155"/>
      <c r="G630" s="155"/>
      <c r="H630" s="155"/>
      <c r="I630" s="157"/>
      <c r="J630" s="155"/>
      <c r="K630" s="155"/>
      <c r="L630" s="171"/>
    </row>
    <row r="631" spans="3:12" s="30" customFormat="1" x14ac:dyDescent="0.2">
      <c r="C631" s="158"/>
      <c r="D631" s="159"/>
      <c r="E631" s="158"/>
      <c r="F631" s="155"/>
      <c r="G631" s="155"/>
      <c r="H631" s="155"/>
      <c r="I631" s="157"/>
      <c r="J631" s="155"/>
      <c r="K631" s="155"/>
      <c r="L631" s="171"/>
    </row>
    <row r="632" spans="3:12" s="30" customFormat="1" x14ac:dyDescent="0.2">
      <c r="C632" s="158"/>
      <c r="D632" s="159"/>
      <c r="E632" s="158"/>
      <c r="F632" s="155"/>
      <c r="G632" s="155"/>
      <c r="H632" s="155"/>
      <c r="I632" s="157"/>
      <c r="J632" s="155"/>
      <c r="K632" s="155"/>
      <c r="L632" s="171"/>
    </row>
    <row r="633" spans="3:12" s="30" customFormat="1" x14ac:dyDescent="0.2">
      <c r="C633" s="158"/>
      <c r="D633" s="159"/>
      <c r="E633" s="158"/>
      <c r="F633" s="155"/>
      <c r="G633" s="155"/>
      <c r="H633" s="155"/>
      <c r="I633" s="157"/>
      <c r="J633" s="155"/>
      <c r="K633" s="155"/>
      <c r="L633" s="171"/>
    </row>
    <row r="634" spans="3:12" s="30" customFormat="1" x14ac:dyDescent="0.2">
      <c r="C634" s="158"/>
      <c r="D634" s="159"/>
      <c r="E634" s="158"/>
      <c r="F634" s="155"/>
      <c r="G634" s="155"/>
      <c r="H634" s="155"/>
      <c r="I634" s="157"/>
      <c r="J634" s="155"/>
      <c r="K634" s="155"/>
      <c r="L634" s="171"/>
    </row>
    <row r="635" spans="3:12" s="30" customFormat="1" x14ac:dyDescent="0.2">
      <c r="C635" s="158"/>
      <c r="D635" s="159"/>
      <c r="E635" s="158"/>
      <c r="F635" s="155"/>
      <c r="G635" s="155"/>
      <c r="H635" s="155"/>
      <c r="I635" s="157"/>
      <c r="J635" s="155"/>
      <c r="K635" s="155"/>
      <c r="L635" s="171"/>
    </row>
    <row r="636" spans="3:12" s="30" customFormat="1" x14ac:dyDescent="0.2">
      <c r="C636" s="158"/>
      <c r="D636" s="159"/>
      <c r="E636" s="158"/>
      <c r="F636" s="155"/>
      <c r="G636" s="155"/>
      <c r="H636" s="155"/>
      <c r="I636" s="157"/>
      <c r="J636" s="155"/>
      <c r="K636" s="155"/>
      <c r="L636" s="171"/>
    </row>
    <row r="637" spans="3:12" s="30" customFormat="1" x14ac:dyDescent="0.2">
      <c r="C637" s="158"/>
      <c r="D637" s="159"/>
      <c r="E637" s="158"/>
      <c r="F637" s="155"/>
      <c r="G637" s="155"/>
      <c r="H637" s="155"/>
      <c r="I637" s="157"/>
      <c r="J637" s="155"/>
      <c r="K637" s="155"/>
      <c r="L637" s="171"/>
    </row>
    <row r="638" spans="3:12" s="30" customFormat="1" x14ac:dyDescent="0.2">
      <c r="C638" s="158"/>
      <c r="D638" s="159"/>
      <c r="E638" s="158"/>
      <c r="F638" s="155"/>
      <c r="G638" s="155"/>
      <c r="H638" s="155"/>
      <c r="I638" s="157"/>
      <c r="J638" s="155"/>
      <c r="K638" s="155"/>
      <c r="L638" s="171"/>
    </row>
    <row r="639" spans="3:12" s="30" customFormat="1" x14ac:dyDescent="0.2">
      <c r="C639" s="158"/>
      <c r="D639" s="159"/>
      <c r="E639" s="158"/>
      <c r="F639" s="155"/>
      <c r="G639" s="155"/>
      <c r="H639" s="155"/>
      <c r="I639" s="157"/>
      <c r="J639" s="155"/>
      <c r="K639" s="155"/>
      <c r="L639" s="171"/>
    </row>
    <row r="640" spans="3:12" s="30" customFormat="1" x14ac:dyDescent="0.2">
      <c r="C640" s="158"/>
      <c r="D640" s="159"/>
      <c r="E640" s="158"/>
      <c r="F640" s="155"/>
      <c r="G640" s="155"/>
      <c r="H640" s="155"/>
      <c r="I640" s="157"/>
      <c r="J640" s="155"/>
      <c r="K640" s="155"/>
      <c r="L640" s="171"/>
    </row>
    <row r="641" spans="3:12" s="30" customFormat="1" x14ac:dyDescent="0.2">
      <c r="C641" s="158"/>
      <c r="D641" s="159"/>
      <c r="E641" s="158"/>
      <c r="F641" s="155"/>
      <c r="G641" s="155"/>
      <c r="H641" s="155"/>
      <c r="I641" s="157"/>
      <c r="J641" s="155"/>
      <c r="K641" s="155"/>
      <c r="L641" s="171"/>
    </row>
    <row r="642" spans="3:12" s="30" customFormat="1" x14ac:dyDescent="0.2">
      <c r="C642" s="158"/>
      <c r="D642" s="159"/>
      <c r="E642" s="158"/>
      <c r="F642" s="155"/>
      <c r="G642" s="155"/>
      <c r="H642" s="155"/>
      <c r="I642" s="157"/>
      <c r="J642" s="155"/>
      <c r="K642" s="155"/>
      <c r="L642" s="171"/>
    </row>
    <row r="643" spans="3:12" s="30" customFormat="1" x14ac:dyDescent="0.2">
      <c r="C643" s="158"/>
      <c r="D643" s="159"/>
      <c r="E643" s="158"/>
      <c r="F643" s="155"/>
      <c r="G643" s="155"/>
      <c r="H643" s="155"/>
      <c r="I643" s="157"/>
      <c r="J643" s="155"/>
      <c r="K643" s="155"/>
      <c r="L643" s="171"/>
    </row>
    <row r="644" spans="3:12" s="30" customFormat="1" x14ac:dyDescent="0.2">
      <c r="C644" s="158"/>
      <c r="D644" s="159"/>
      <c r="E644" s="158"/>
      <c r="F644" s="155"/>
      <c r="G644" s="155"/>
      <c r="H644" s="155"/>
      <c r="I644" s="157"/>
      <c r="J644" s="155"/>
      <c r="K644" s="155"/>
      <c r="L644" s="171"/>
    </row>
    <row r="645" spans="3:12" s="30" customFormat="1" x14ac:dyDescent="0.2">
      <c r="C645" s="158"/>
      <c r="D645" s="159"/>
      <c r="E645" s="158"/>
      <c r="F645" s="155"/>
      <c r="G645" s="155"/>
      <c r="H645" s="155"/>
      <c r="I645" s="157"/>
      <c r="J645" s="155"/>
      <c r="K645" s="155"/>
      <c r="L645" s="171"/>
    </row>
    <row r="646" spans="3:12" s="30" customFormat="1" x14ac:dyDescent="0.2">
      <c r="C646" s="158"/>
      <c r="D646" s="159"/>
      <c r="E646" s="158"/>
      <c r="F646" s="155"/>
      <c r="G646" s="155"/>
      <c r="H646" s="155"/>
      <c r="I646" s="157"/>
      <c r="J646" s="155"/>
      <c r="K646" s="155"/>
      <c r="L646" s="171"/>
    </row>
    <row r="647" spans="3:12" s="30" customFormat="1" x14ac:dyDescent="0.2">
      <c r="C647" s="158"/>
      <c r="D647" s="159"/>
      <c r="E647" s="158"/>
      <c r="F647" s="155"/>
      <c r="G647" s="155"/>
      <c r="H647" s="155"/>
      <c r="I647" s="157"/>
      <c r="J647" s="155"/>
      <c r="K647" s="155"/>
      <c r="L647" s="171"/>
    </row>
    <row r="648" spans="3:12" s="30" customFormat="1" x14ac:dyDescent="0.2">
      <c r="C648" s="158"/>
      <c r="D648" s="159"/>
      <c r="E648" s="158"/>
      <c r="F648" s="155"/>
      <c r="G648" s="155"/>
      <c r="H648" s="155"/>
      <c r="I648" s="157"/>
      <c r="J648" s="155"/>
      <c r="K648" s="155"/>
      <c r="L648" s="171"/>
    </row>
    <row r="649" spans="3:12" s="30" customFormat="1" x14ac:dyDescent="0.2">
      <c r="C649" s="158"/>
      <c r="D649" s="159"/>
      <c r="E649" s="158"/>
      <c r="F649" s="155"/>
      <c r="G649" s="155"/>
      <c r="H649" s="155"/>
      <c r="I649" s="157"/>
      <c r="J649" s="155"/>
      <c r="K649" s="155"/>
      <c r="L649" s="171"/>
    </row>
    <row r="650" spans="3:12" s="30" customFormat="1" x14ac:dyDescent="0.2">
      <c r="C650" s="158"/>
      <c r="D650" s="159"/>
      <c r="E650" s="158"/>
      <c r="F650" s="155"/>
      <c r="G650" s="155"/>
      <c r="H650" s="155"/>
      <c r="I650" s="157"/>
      <c r="J650" s="155"/>
      <c r="K650" s="155"/>
      <c r="L650" s="171"/>
    </row>
    <row r="651" spans="3:12" s="30" customFormat="1" x14ac:dyDescent="0.2">
      <c r="C651" s="158"/>
      <c r="D651" s="159"/>
      <c r="E651" s="158"/>
      <c r="F651" s="155"/>
      <c r="G651" s="155"/>
      <c r="H651" s="155"/>
      <c r="I651" s="157"/>
      <c r="J651" s="155"/>
      <c r="K651" s="155"/>
      <c r="L651" s="171"/>
    </row>
    <row r="652" spans="3:12" s="30" customFormat="1" x14ac:dyDescent="0.2">
      <c r="C652" s="158"/>
      <c r="D652" s="159"/>
      <c r="E652" s="158"/>
      <c r="F652" s="155"/>
      <c r="G652" s="155"/>
      <c r="H652" s="155"/>
      <c r="I652" s="157"/>
      <c r="J652" s="155"/>
      <c r="K652" s="155"/>
      <c r="L652" s="171"/>
    </row>
    <row r="653" spans="3:12" s="30" customFormat="1" x14ac:dyDescent="0.2">
      <c r="C653" s="158"/>
      <c r="D653" s="159"/>
      <c r="E653" s="158"/>
      <c r="F653" s="155"/>
      <c r="G653" s="155"/>
      <c r="H653" s="155"/>
      <c r="I653" s="157"/>
      <c r="J653" s="155"/>
      <c r="K653" s="155"/>
      <c r="L653" s="171"/>
    </row>
    <row r="654" spans="3:12" s="30" customFormat="1" x14ac:dyDescent="0.2">
      <c r="C654" s="158"/>
      <c r="D654" s="159"/>
      <c r="E654" s="158"/>
      <c r="F654" s="155"/>
      <c r="G654" s="155"/>
      <c r="H654" s="155"/>
      <c r="I654" s="157"/>
      <c r="J654" s="155"/>
      <c r="K654" s="155"/>
      <c r="L654" s="171"/>
    </row>
    <row r="655" spans="3:12" s="30" customFormat="1" x14ac:dyDescent="0.2">
      <c r="C655" s="158"/>
      <c r="D655" s="159"/>
      <c r="E655" s="158"/>
      <c r="F655" s="155"/>
      <c r="G655" s="155"/>
      <c r="H655" s="155"/>
      <c r="I655" s="157"/>
      <c r="J655" s="155"/>
      <c r="K655" s="155"/>
      <c r="L655" s="171"/>
    </row>
    <row r="656" spans="3:12" s="30" customFormat="1" x14ac:dyDescent="0.2">
      <c r="C656" s="158"/>
      <c r="D656" s="159"/>
      <c r="E656" s="158"/>
      <c r="F656" s="155"/>
      <c r="G656" s="155"/>
      <c r="H656" s="155"/>
      <c r="I656" s="157"/>
      <c r="J656" s="155"/>
      <c r="K656" s="155"/>
      <c r="L656" s="171"/>
    </row>
    <row r="657" spans="3:12" s="30" customFormat="1" x14ac:dyDescent="0.2">
      <c r="C657" s="158"/>
      <c r="D657" s="159"/>
      <c r="E657" s="158"/>
      <c r="F657" s="155"/>
      <c r="G657" s="155"/>
      <c r="H657" s="155"/>
      <c r="I657" s="157"/>
      <c r="J657" s="155"/>
      <c r="K657" s="155"/>
      <c r="L657" s="171"/>
    </row>
    <row r="658" spans="3:12" s="30" customFormat="1" x14ac:dyDescent="0.2">
      <c r="C658" s="158"/>
      <c r="D658" s="159"/>
      <c r="E658" s="158"/>
      <c r="F658" s="155"/>
      <c r="G658" s="155"/>
      <c r="H658" s="155"/>
      <c r="I658" s="157"/>
      <c r="J658" s="155"/>
      <c r="K658" s="155"/>
      <c r="L658" s="171"/>
    </row>
    <row r="659" spans="3:12" s="30" customFormat="1" x14ac:dyDescent="0.2">
      <c r="C659" s="158"/>
      <c r="D659" s="159"/>
      <c r="E659" s="158"/>
      <c r="F659" s="155"/>
      <c r="G659" s="155"/>
      <c r="H659" s="155"/>
      <c r="I659" s="157"/>
      <c r="J659" s="155"/>
      <c r="K659" s="155"/>
      <c r="L659" s="171"/>
    </row>
    <row r="660" spans="3:12" s="30" customFormat="1" x14ac:dyDescent="0.2">
      <c r="C660" s="158"/>
      <c r="D660" s="159"/>
      <c r="E660" s="158"/>
      <c r="F660" s="155"/>
      <c r="G660" s="155"/>
      <c r="H660" s="155"/>
      <c r="I660" s="157"/>
      <c r="J660" s="155"/>
      <c r="K660" s="155"/>
      <c r="L660" s="171"/>
    </row>
    <row r="661" spans="3:12" s="30" customFormat="1" x14ac:dyDescent="0.2">
      <c r="C661" s="158"/>
      <c r="D661" s="159"/>
      <c r="E661" s="158"/>
      <c r="F661" s="155"/>
      <c r="G661" s="155"/>
      <c r="H661" s="155"/>
      <c r="I661" s="157"/>
      <c r="J661" s="155"/>
      <c r="K661" s="155"/>
      <c r="L661" s="171"/>
    </row>
    <row r="662" spans="3:12" s="30" customFormat="1" x14ac:dyDescent="0.2">
      <c r="C662" s="158"/>
      <c r="D662" s="159"/>
      <c r="E662" s="158"/>
      <c r="F662" s="155"/>
      <c r="G662" s="155"/>
      <c r="H662" s="155"/>
      <c r="I662" s="157"/>
      <c r="J662" s="155"/>
      <c r="K662" s="155"/>
      <c r="L662" s="171"/>
    </row>
    <row r="663" spans="3:12" s="30" customFormat="1" x14ac:dyDescent="0.2">
      <c r="C663" s="158"/>
      <c r="D663" s="159"/>
      <c r="E663" s="158"/>
      <c r="F663" s="155"/>
      <c r="G663" s="155"/>
      <c r="H663" s="155"/>
      <c r="I663" s="157"/>
      <c r="J663" s="155"/>
      <c r="K663" s="155"/>
      <c r="L663" s="171"/>
    </row>
    <row r="664" spans="3:12" s="30" customFormat="1" x14ac:dyDescent="0.2">
      <c r="C664" s="158"/>
      <c r="D664" s="159"/>
      <c r="E664" s="158"/>
      <c r="F664" s="155"/>
      <c r="G664" s="155"/>
      <c r="H664" s="155"/>
      <c r="I664" s="157"/>
      <c r="J664" s="155"/>
      <c r="K664" s="155"/>
      <c r="L664" s="171"/>
    </row>
    <row r="665" spans="3:12" s="30" customFormat="1" x14ac:dyDescent="0.2">
      <c r="C665" s="158"/>
      <c r="D665" s="159"/>
      <c r="E665" s="158"/>
      <c r="F665" s="155"/>
      <c r="G665" s="155"/>
      <c r="H665" s="155"/>
      <c r="I665" s="157"/>
      <c r="J665" s="155"/>
      <c r="K665" s="155"/>
      <c r="L665" s="171"/>
    </row>
    <row r="666" spans="3:12" s="30" customFormat="1" x14ac:dyDescent="0.2">
      <c r="C666" s="158"/>
      <c r="D666" s="159"/>
      <c r="E666" s="158"/>
      <c r="F666" s="155"/>
      <c r="G666" s="155"/>
      <c r="H666" s="155"/>
      <c r="I666" s="157"/>
      <c r="J666" s="155"/>
      <c r="K666" s="155"/>
      <c r="L666" s="171"/>
    </row>
    <row r="667" spans="3:12" s="30" customFormat="1" x14ac:dyDescent="0.2">
      <c r="C667" s="158"/>
      <c r="D667" s="159"/>
      <c r="E667" s="158"/>
      <c r="F667" s="155"/>
      <c r="G667" s="155"/>
      <c r="H667" s="155"/>
      <c r="I667" s="157"/>
      <c r="J667" s="155"/>
      <c r="K667" s="155"/>
      <c r="L667" s="171"/>
    </row>
    <row r="668" spans="3:12" s="30" customFormat="1" x14ac:dyDescent="0.2">
      <c r="C668" s="158"/>
      <c r="D668" s="159"/>
      <c r="E668" s="158"/>
      <c r="F668" s="155"/>
      <c r="G668" s="155"/>
      <c r="H668" s="155"/>
      <c r="I668" s="157"/>
      <c r="J668" s="155"/>
      <c r="K668" s="155"/>
      <c r="L668" s="171"/>
    </row>
    <row r="669" spans="3:12" s="30" customFormat="1" x14ac:dyDescent="0.2">
      <c r="C669" s="158"/>
      <c r="D669" s="159"/>
      <c r="E669" s="158"/>
      <c r="F669" s="155"/>
      <c r="G669" s="155"/>
      <c r="H669" s="155"/>
      <c r="I669" s="157"/>
      <c r="J669" s="155"/>
      <c r="K669" s="155"/>
      <c r="L669" s="171"/>
    </row>
    <row r="670" spans="3:12" s="30" customFormat="1" x14ac:dyDescent="0.2">
      <c r="C670" s="158"/>
      <c r="D670" s="159"/>
      <c r="E670" s="158"/>
      <c r="F670" s="155"/>
      <c r="G670" s="155"/>
      <c r="H670" s="155"/>
      <c r="I670" s="157"/>
      <c r="J670" s="155"/>
      <c r="K670" s="155"/>
      <c r="L670" s="171"/>
    </row>
    <row r="671" spans="3:12" s="30" customFormat="1" x14ac:dyDescent="0.2">
      <c r="C671" s="158"/>
      <c r="D671" s="159"/>
      <c r="E671" s="158"/>
      <c r="F671" s="155"/>
      <c r="G671" s="155"/>
      <c r="H671" s="155"/>
      <c r="I671" s="157"/>
      <c r="J671" s="155"/>
      <c r="K671" s="155"/>
      <c r="L671" s="171"/>
    </row>
    <row r="672" spans="3:12" s="30" customFormat="1" x14ac:dyDescent="0.2">
      <c r="C672" s="158"/>
      <c r="D672" s="159"/>
      <c r="E672" s="158"/>
      <c r="F672" s="155"/>
      <c r="G672" s="155"/>
      <c r="H672" s="155"/>
      <c r="I672" s="157"/>
      <c r="J672" s="155"/>
      <c r="K672" s="155"/>
      <c r="L672" s="171"/>
    </row>
    <row r="673" spans="3:12" s="30" customFormat="1" x14ac:dyDescent="0.2">
      <c r="C673" s="158"/>
      <c r="D673" s="159"/>
      <c r="E673" s="158"/>
      <c r="F673" s="155"/>
      <c r="G673" s="155"/>
      <c r="H673" s="155"/>
      <c r="I673" s="157"/>
      <c r="J673" s="155"/>
      <c r="K673" s="155"/>
      <c r="L673" s="171"/>
    </row>
    <row r="674" spans="3:12" s="30" customFormat="1" x14ac:dyDescent="0.2">
      <c r="C674" s="158"/>
      <c r="D674" s="159"/>
      <c r="E674" s="158"/>
      <c r="F674" s="155"/>
      <c r="G674" s="155"/>
      <c r="H674" s="155"/>
      <c r="I674" s="157"/>
      <c r="J674" s="155"/>
      <c r="K674" s="155"/>
      <c r="L674" s="171"/>
    </row>
    <row r="675" spans="3:12" s="30" customFormat="1" x14ac:dyDescent="0.2">
      <c r="C675" s="158"/>
      <c r="D675" s="159"/>
      <c r="E675" s="158"/>
      <c r="F675" s="155"/>
      <c r="G675" s="155"/>
      <c r="H675" s="155"/>
      <c r="I675" s="157"/>
      <c r="J675" s="155"/>
      <c r="K675" s="155"/>
      <c r="L675" s="171"/>
    </row>
    <row r="676" spans="3:12" s="30" customFormat="1" x14ac:dyDescent="0.2">
      <c r="C676" s="158"/>
      <c r="D676" s="159"/>
      <c r="E676" s="158"/>
      <c r="F676" s="155"/>
      <c r="G676" s="155"/>
      <c r="H676" s="155"/>
      <c r="I676" s="157"/>
      <c r="J676" s="155"/>
      <c r="K676" s="155"/>
      <c r="L676" s="171"/>
    </row>
    <row r="677" spans="3:12" s="30" customFormat="1" x14ac:dyDescent="0.2">
      <c r="C677" s="158"/>
      <c r="D677" s="159"/>
      <c r="E677" s="158"/>
      <c r="F677" s="155"/>
      <c r="G677" s="155"/>
      <c r="H677" s="155"/>
      <c r="I677" s="157"/>
      <c r="J677" s="155"/>
      <c r="K677" s="155"/>
      <c r="L677" s="171"/>
    </row>
    <row r="678" spans="3:12" s="30" customFormat="1" x14ac:dyDescent="0.2">
      <c r="C678" s="158"/>
      <c r="D678" s="159"/>
      <c r="E678" s="158"/>
      <c r="F678" s="155"/>
      <c r="G678" s="155"/>
      <c r="H678" s="155"/>
      <c r="I678" s="157"/>
      <c r="J678" s="155"/>
      <c r="K678" s="155"/>
      <c r="L678" s="171"/>
    </row>
    <row r="679" spans="3:12" s="30" customFormat="1" x14ac:dyDescent="0.2">
      <c r="C679" s="158"/>
      <c r="D679" s="159"/>
      <c r="E679" s="158"/>
      <c r="F679" s="155"/>
      <c r="G679" s="155"/>
      <c r="H679" s="155"/>
      <c r="I679" s="157"/>
      <c r="J679" s="155"/>
      <c r="K679" s="155"/>
      <c r="L679" s="171"/>
    </row>
    <row r="680" spans="3:12" s="30" customFormat="1" x14ac:dyDescent="0.2">
      <c r="C680" s="158"/>
      <c r="D680" s="159"/>
      <c r="E680" s="158"/>
      <c r="F680" s="155"/>
      <c r="G680" s="155"/>
      <c r="H680" s="155"/>
      <c r="I680" s="157"/>
      <c r="J680" s="155"/>
      <c r="K680" s="155"/>
      <c r="L680" s="171"/>
    </row>
    <row r="681" spans="3:12" s="30" customFormat="1" x14ac:dyDescent="0.2">
      <c r="C681" s="158"/>
      <c r="D681" s="159"/>
      <c r="E681" s="158"/>
      <c r="F681" s="155"/>
      <c r="G681" s="155"/>
      <c r="H681" s="155"/>
      <c r="I681" s="157"/>
      <c r="J681" s="155"/>
      <c r="K681" s="155"/>
      <c r="L681" s="171"/>
    </row>
    <row r="682" spans="3:12" s="30" customFormat="1" x14ac:dyDescent="0.2">
      <c r="C682" s="158"/>
      <c r="D682" s="159"/>
      <c r="E682" s="158"/>
      <c r="F682" s="155"/>
      <c r="G682" s="155"/>
      <c r="H682" s="155"/>
      <c r="I682" s="157"/>
      <c r="J682" s="155"/>
      <c r="K682" s="155"/>
      <c r="L682" s="171"/>
    </row>
    <row r="683" spans="3:12" s="30" customFormat="1" x14ac:dyDescent="0.2">
      <c r="C683" s="158"/>
      <c r="D683" s="159"/>
      <c r="E683" s="158"/>
      <c r="F683" s="155"/>
      <c r="G683" s="155"/>
      <c r="H683" s="155"/>
      <c r="I683" s="157"/>
      <c r="J683" s="155"/>
      <c r="K683" s="155"/>
      <c r="L683" s="171"/>
    </row>
    <row r="684" spans="3:12" s="30" customFormat="1" x14ac:dyDescent="0.2">
      <c r="C684" s="158"/>
      <c r="D684" s="159"/>
      <c r="E684" s="158"/>
      <c r="F684" s="155"/>
      <c r="G684" s="155"/>
      <c r="H684" s="155"/>
      <c r="I684" s="157"/>
      <c r="J684" s="155"/>
      <c r="K684" s="155"/>
      <c r="L684" s="171"/>
    </row>
    <row r="685" spans="3:12" s="30" customFormat="1" x14ac:dyDescent="0.2">
      <c r="C685" s="158"/>
      <c r="D685" s="159"/>
      <c r="E685" s="158"/>
      <c r="F685" s="155"/>
      <c r="G685" s="155"/>
      <c r="H685" s="155"/>
      <c r="I685" s="157"/>
      <c r="J685" s="155"/>
      <c r="K685" s="155"/>
      <c r="L685" s="171"/>
    </row>
    <row r="686" spans="3:12" s="30" customFormat="1" x14ac:dyDescent="0.2">
      <c r="C686" s="158"/>
      <c r="D686" s="159"/>
      <c r="E686" s="158"/>
      <c r="F686" s="155"/>
      <c r="G686" s="155"/>
      <c r="H686" s="155"/>
      <c r="I686" s="157"/>
      <c r="J686" s="155"/>
      <c r="K686" s="155"/>
      <c r="L686" s="171"/>
    </row>
    <row r="687" spans="3:12" s="30" customFormat="1" x14ac:dyDescent="0.2">
      <c r="C687" s="158"/>
      <c r="D687" s="159"/>
      <c r="E687" s="158"/>
      <c r="F687" s="155"/>
      <c r="G687" s="155"/>
      <c r="H687" s="155"/>
      <c r="I687" s="157"/>
      <c r="J687" s="155"/>
      <c r="K687" s="155"/>
      <c r="L687" s="171"/>
    </row>
    <row r="688" spans="3:12" s="30" customFormat="1" x14ac:dyDescent="0.2">
      <c r="C688" s="158"/>
      <c r="D688" s="159"/>
      <c r="E688" s="158"/>
      <c r="F688" s="155"/>
      <c r="G688" s="155"/>
      <c r="H688" s="155"/>
      <c r="I688" s="157"/>
      <c r="J688" s="155"/>
      <c r="K688" s="155"/>
      <c r="L688" s="171"/>
    </row>
    <row r="689" spans="3:12" s="30" customFormat="1" x14ac:dyDescent="0.2">
      <c r="C689" s="158"/>
      <c r="D689" s="159"/>
      <c r="E689" s="158"/>
      <c r="F689" s="155"/>
      <c r="G689" s="155"/>
      <c r="H689" s="155"/>
      <c r="I689" s="157"/>
      <c r="J689" s="155"/>
      <c r="K689" s="155"/>
      <c r="L689" s="171"/>
    </row>
    <row r="690" spans="3:12" s="30" customFormat="1" x14ac:dyDescent="0.2">
      <c r="C690" s="158"/>
      <c r="D690" s="159"/>
      <c r="E690" s="158"/>
      <c r="F690" s="155"/>
      <c r="G690" s="155"/>
      <c r="H690" s="155"/>
      <c r="I690" s="157"/>
      <c r="J690" s="155"/>
      <c r="K690" s="155"/>
      <c r="L690" s="171"/>
    </row>
    <row r="691" spans="3:12" s="30" customFormat="1" x14ac:dyDescent="0.2">
      <c r="C691" s="158"/>
      <c r="D691" s="159"/>
      <c r="E691" s="158"/>
      <c r="F691" s="155"/>
      <c r="G691" s="155"/>
      <c r="H691" s="155"/>
      <c r="I691" s="157"/>
      <c r="J691" s="155"/>
      <c r="K691" s="155"/>
      <c r="L691" s="171"/>
    </row>
    <row r="692" spans="3:12" s="30" customFormat="1" x14ac:dyDescent="0.2">
      <c r="C692" s="158"/>
      <c r="D692" s="159"/>
      <c r="E692" s="158"/>
      <c r="F692" s="155"/>
      <c r="G692" s="155"/>
      <c r="H692" s="155"/>
      <c r="I692" s="157"/>
      <c r="J692" s="155"/>
      <c r="K692" s="155"/>
      <c r="L692" s="171"/>
    </row>
    <row r="693" spans="3:12" s="30" customFormat="1" x14ac:dyDescent="0.2">
      <c r="C693" s="158"/>
      <c r="D693" s="159"/>
      <c r="E693" s="158"/>
      <c r="F693" s="155"/>
      <c r="G693" s="155"/>
      <c r="H693" s="155"/>
      <c r="I693" s="157"/>
      <c r="J693" s="155"/>
      <c r="K693" s="155"/>
      <c r="L693" s="171"/>
    </row>
    <row r="694" spans="3:12" s="30" customFormat="1" x14ac:dyDescent="0.2">
      <c r="C694" s="158"/>
      <c r="D694" s="159"/>
      <c r="E694" s="158"/>
      <c r="F694" s="155"/>
      <c r="G694" s="155"/>
      <c r="H694" s="155"/>
      <c r="I694" s="157"/>
      <c r="J694" s="155"/>
      <c r="K694" s="155"/>
      <c r="L694" s="171"/>
    </row>
    <row r="695" spans="3:12" s="30" customFormat="1" x14ac:dyDescent="0.2">
      <c r="C695" s="158"/>
      <c r="D695" s="159"/>
      <c r="E695" s="158"/>
      <c r="F695" s="155"/>
      <c r="G695" s="155"/>
      <c r="H695" s="155"/>
      <c r="I695" s="157"/>
      <c r="J695" s="155"/>
      <c r="K695" s="155"/>
      <c r="L695" s="171"/>
    </row>
    <row r="696" spans="3:12" s="30" customFormat="1" x14ac:dyDescent="0.2">
      <c r="C696" s="158"/>
      <c r="D696" s="159"/>
      <c r="E696" s="158"/>
      <c r="F696" s="155"/>
      <c r="G696" s="155"/>
      <c r="H696" s="155"/>
      <c r="I696" s="157"/>
      <c r="J696" s="155"/>
      <c r="K696" s="155"/>
      <c r="L696" s="171"/>
    </row>
    <row r="697" spans="3:12" s="30" customFormat="1" x14ac:dyDescent="0.2">
      <c r="C697" s="158"/>
      <c r="D697" s="159"/>
      <c r="E697" s="158"/>
      <c r="F697" s="155"/>
      <c r="G697" s="155"/>
      <c r="H697" s="155"/>
      <c r="I697" s="157"/>
      <c r="J697" s="155"/>
      <c r="K697" s="155"/>
      <c r="L697" s="171"/>
    </row>
    <row r="698" spans="3:12" s="30" customFormat="1" x14ac:dyDescent="0.2">
      <c r="C698" s="158"/>
      <c r="D698" s="159"/>
      <c r="E698" s="158"/>
      <c r="F698" s="155"/>
      <c r="G698" s="155"/>
      <c r="H698" s="155"/>
      <c r="I698" s="157"/>
      <c r="J698" s="155"/>
      <c r="K698" s="155"/>
      <c r="L698" s="171"/>
    </row>
    <row r="699" spans="3:12" s="30" customFormat="1" x14ac:dyDescent="0.2">
      <c r="C699" s="158"/>
      <c r="D699" s="159"/>
      <c r="E699" s="158"/>
      <c r="F699" s="155"/>
      <c r="G699" s="155"/>
      <c r="H699" s="155"/>
      <c r="I699" s="157"/>
      <c r="J699" s="155"/>
      <c r="K699" s="155"/>
      <c r="L699" s="171"/>
    </row>
    <row r="700" spans="3:12" s="30" customFormat="1" x14ac:dyDescent="0.2">
      <c r="C700" s="158"/>
      <c r="D700" s="159"/>
      <c r="E700" s="158"/>
      <c r="F700" s="155"/>
      <c r="G700" s="155"/>
      <c r="H700" s="155"/>
      <c r="I700" s="157"/>
      <c r="J700" s="155"/>
      <c r="K700" s="155"/>
      <c r="L700" s="171"/>
    </row>
    <row r="701" spans="3:12" s="30" customFormat="1" x14ac:dyDescent="0.2">
      <c r="C701" s="158"/>
      <c r="D701" s="159"/>
      <c r="E701" s="158"/>
      <c r="F701" s="155"/>
      <c r="G701" s="155"/>
      <c r="H701" s="155"/>
      <c r="I701" s="157"/>
      <c r="J701" s="155"/>
      <c r="K701" s="155"/>
      <c r="L701" s="171"/>
    </row>
    <row r="702" spans="3:12" s="30" customFormat="1" x14ac:dyDescent="0.2">
      <c r="C702" s="158"/>
      <c r="D702" s="159"/>
      <c r="E702" s="158"/>
      <c r="F702" s="155"/>
      <c r="G702" s="155"/>
      <c r="H702" s="155"/>
      <c r="I702" s="157"/>
      <c r="J702" s="155"/>
      <c r="K702" s="155"/>
      <c r="L702" s="171"/>
    </row>
    <row r="703" spans="3:12" s="30" customFormat="1" x14ac:dyDescent="0.2">
      <c r="C703" s="158"/>
      <c r="D703" s="159"/>
      <c r="E703" s="158"/>
      <c r="F703" s="155"/>
      <c r="G703" s="155"/>
      <c r="H703" s="155"/>
      <c r="I703" s="157"/>
      <c r="J703" s="155"/>
      <c r="K703" s="155"/>
      <c r="L703" s="171"/>
    </row>
    <row r="704" spans="3:12" s="30" customFormat="1" x14ac:dyDescent="0.2">
      <c r="C704" s="158"/>
      <c r="D704" s="159"/>
      <c r="E704" s="158"/>
      <c r="F704" s="155"/>
      <c r="G704" s="155"/>
      <c r="H704" s="155"/>
      <c r="I704" s="157"/>
      <c r="J704" s="155"/>
      <c r="K704" s="155"/>
      <c r="L704" s="171"/>
    </row>
    <row r="705" spans="3:12" s="30" customFormat="1" x14ac:dyDescent="0.2">
      <c r="C705" s="158"/>
      <c r="D705" s="159"/>
      <c r="E705" s="158"/>
      <c r="F705" s="155"/>
      <c r="G705" s="155"/>
      <c r="H705" s="155"/>
      <c r="I705" s="157"/>
      <c r="J705" s="155"/>
      <c r="K705" s="155"/>
      <c r="L705" s="171"/>
    </row>
    <row r="706" spans="3:12" s="30" customFormat="1" x14ac:dyDescent="0.2">
      <c r="C706" s="158"/>
      <c r="D706" s="159"/>
      <c r="E706" s="158"/>
      <c r="F706" s="155"/>
      <c r="G706" s="155"/>
      <c r="H706" s="155"/>
      <c r="I706" s="157"/>
      <c r="J706" s="155"/>
      <c r="K706" s="155"/>
      <c r="L706" s="171"/>
    </row>
    <row r="707" spans="3:12" s="30" customFormat="1" x14ac:dyDescent="0.2">
      <c r="C707" s="158"/>
      <c r="D707" s="159"/>
      <c r="E707" s="158"/>
      <c r="F707" s="155"/>
      <c r="G707" s="155"/>
      <c r="H707" s="155"/>
      <c r="I707" s="157"/>
      <c r="J707" s="155"/>
      <c r="K707" s="155"/>
      <c r="L707" s="171"/>
    </row>
    <row r="708" spans="3:12" s="30" customFormat="1" x14ac:dyDescent="0.2">
      <c r="C708" s="158"/>
      <c r="D708" s="159"/>
      <c r="E708" s="158"/>
      <c r="F708" s="155"/>
      <c r="G708" s="155"/>
      <c r="H708" s="155"/>
      <c r="I708" s="157"/>
      <c r="J708" s="155"/>
      <c r="K708" s="155"/>
      <c r="L708" s="171"/>
    </row>
    <row r="709" spans="3:12" s="30" customFormat="1" x14ac:dyDescent="0.2">
      <c r="C709" s="158"/>
      <c r="D709" s="159"/>
      <c r="E709" s="158"/>
      <c r="F709" s="155"/>
      <c r="G709" s="155"/>
      <c r="H709" s="155"/>
      <c r="I709" s="157"/>
      <c r="J709" s="155"/>
      <c r="K709" s="155"/>
      <c r="L709" s="171"/>
    </row>
    <row r="710" spans="3:12" s="30" customFormat="1" x14ac:dyDescent="0.2">
      <c r="C710" s="158"/>
      <c r="D710" s="159"/>
      <c r="E710" s="158"/>
      <c r="F710" s="155"/>
      <c r="G710" s="155"/>
      <c r="H710" s="155"/>
      <c r="I710" s="157"/>
      <c r="J710" s="155"/>
      <c r="K710" s="155"/>
      <c r="L710" s="171"/>
    </row>
    <row r="711" spans="3:12" s="30" customFormat="1" x14ac:dyDescent="0.2">
      <c r="C711" s="158"/>
      <c r="D711" s="159"/>
      <c r="E711" s="158"/>
      <c r="F711" s="155"/>
      <c r="G711" s="155"/>
      <c r="H711" s="155"/>
      <c r="I711" s="157"/>
      <c r="J711" s="155"/>
      <c r="K711" s="155"/>
      <c r="L711" s="171"/>
    </row>
    <row r="712" spans="3:12" s="30" customFormat="1" x14ac:dyDescent="0.2">
      <c r="C712" s="158"/>
      <c r="D712" s="159"/>
      <c r="E712" s="158"/>
      <c r="F712" s="155"/>
      <c r="G712" s="155"/>
      <c r="H712" s="155"/>
      <c r="I712" s="157"/>
      <c r="J712" s="155"/>
      <c r="K712" s="155"/>
      <c r="L712" s="171"/>
    </row>
    <row r="713" spans="3:12" s="30" customFormat="1" x14ac:dyDescent="0.2">
      <c r="C713" s="158"/>
      <c r="D713" s="159"/>
      <c r="E713" s="158"/>
      <c r="F713" s="155"/>
      <c r="G713" s="155"/>
      <c r="H713" s="155"/>
      <c r="I713" s="157"/>
      <c r="J713" s="155"/>
      <c r="K713" s="155"/>
      <c r="L713" s="171"/>
    </row>
    <row r="714" spans="3:12" s="30" customFormat="1" x14ac:dyDescent="0.2">
      <c r="C714" s="158"/>
      <c r="D714" s="159"/>
      <c r="E714" s="158"/>
      <c r="F714" s="155"/>
      <c r="G714" s="155"/>
      <c r="H714" s="155"/>
      <c r="I714" s="157"/>
      <c r="J714" s="155"/>
      <c r="K714" s="155"/>
      <c r="L714" s="171"/>
    </row>
    <row r="715" spans="3:12" s="30" customFormat="1" x14ac:dyDescent="0.2">
      <c r="C715" s="158"/>
      <c r="D715" s="159"/>
      <c r="E715" s="158"/>
      <c r="F715" s="155"/>
      <c r="G715" s="155"/>
      <c r="H715" s="155"/>
      <c r="I715" s="157"/>
      <c r="J715" s="155"/>
      <c r="K715" s="155"/>
      <c r="L715" s="171"/>
    </row>
    <row r="716" spans="3:12" s="30" customFormat="1" x14ac:dyDescent="0.2">
      <c r="C716" s="158"/>
      <c r="D716" s="159"/>
      <c r="E716" s="158"/>
      <c r="F716" s="155"/>
      <c r="G716" s="155"/>
      <c r="H716" s="155"/>
      <c r="I716" s="157"/>
      <c r="J716" s="155"/>
      <c r="K716" s="155"/>
      <c r="L716" s="171"/>
    </row>
    <row r="717" spans="3:12" s="30" customFormat="1" x14ac:dyDescent="0.2">
      <c r="C717" s="158"/>
      <c r="D717" s="159"/>
      <c r="E717" s="158"/>
      <c r="F717" s="155"/>
      <c r="G717" s="155"/>
      <c r="H717" s="155"/>
      <c r="I717" s="157"/>
      <c r="J717" s="155"/>
      <c r="K717" s="155"/>
      <c r="L717" s="171"/>
    </row>
    <row r="718" spans="3:12" s="30" customFormat="1" x14ac:dyDescent="0.2">
      <c r="C718" s="158"/>
      <c r="D718" s="159"/>
      <c r="E718" s="158"/>
      <c r="F718" s="155"/>
      <c r="G718" s="155"/>
      <c r="H718" s="155"/>
      <c r="I718" s="157"/>
      <c r="J718" s="155"/>
      <c r="K718" s="155"/>
      <c r="L718" s="171"/>
    </row>
    <row r="719" spans="3:12" s="30" customFormat="1" x14ac:dyDescent="0.2">
      <c r="C719" s="158"/>
      <c r="D719" s="159"/>
      <c r="E719" s="158"/>
      <c r="F719" s="155"/>
      <c r="G719" s="155"/>
      <c r="H719" s="155"/>
      <c r="I719" s="157"/>
      <c r="J719" s="155"/>
      <c r="K719" s="155"/>
      <c r="L719" s="171"/>
    </row>
    <row r="720" spans="3:12" s="30" customFormat="1" x14ac:dyDescent="0.2">
      <c r="C720" s="158"/>
      <c r="D720" s="159"/>
      <c r="E720" s="158"/>
      <c r="F720" s="155"/>
      <c r="G720" s="155"/>
      <c r="H720" s="155"/>
      <c r="I720" s="157"/>
      <c r="J720" s="155"/>
      <c r="K720" s="155"/>
      <c r="L720" s="171"/>
    </row>
    <row r="721" spans="3:12" s="30" customFormat="1" x14ac:dyDescent="0.2">
      <c r="C721" s="158"/>
      <c r="D721" s="159"/>
      <c r="E721" s="158"/>
      <c r="F721" s="155"/>
      <c r="G721" s="155"/>
      <c r="H721" s="155"/>
      <c r="I721" s="157"/>
      <c r="J721" s="155"/>
      <c r="K721" s="155"/>
      <c r="L721" s="171"/>
    </row>
    <row r="722" spans="3:12" s="30" customFormat="1" x14ac:dyDescent="0.2">
      <c r="C722" s="158"/>
      <c r="D722" s="159"/>
      <c r="E722" s="158"/>
      <c r="F722" s="155"/>
      <c r="G722" s="155"/>
      <c r="H722" s="155"/>
      <c r="I722" s="157"/>
      <c r="J722" s="155"/>
      <c r="K722" s="155"/>
      <c r="L722" s="171"/>
    </row>
    <row r="723" spans="3:12" s="30" customFormat="1" x14ac:dyDescent="0.2">
      <c r="C723" s="158"/>
      <c r="D723" s="159"/>
      <c r="E723" s="158"/>
      <c r="F723" s="155"/>
      <c r="G723" s="155"/>
      <c r="H723" s="155"/>
      <c r="I723" s="157"/>
      <c r="J723" s="155"/>
      <c r="K723" s="155"/>
      <c r="L723" s="171"/>
    </row>
    <row r="724" spans="3:12" s="30" customFormat="1" x14ac:dyDescent="0.2">
      <c r="C724" s="158"/>
      <c r="D724" s="159"/>
      <c r="E724" s="158"/>
      <c r="F724" s="155"/>
      <c r="G724" s="155"/>
      <c r="H724" s="155"/>
      <c r="I724" s="157"/>
      <c r="J724" s="155"/>
      <c r="K724" s="155"/>
      <c r="L724" s="171"/>
    </row>
    <row r="725" spans="3:12" s="30" customFormat="1" x14ac:dyDescent="0.2">
      <c r="C725" s="158"/>
      <c r="D725" s="159"/>
      <c r="E725" s="158"/>
      <c r="F725" s="155"/>
      <c r="G725" s="155"/>
      <c r="H725" s="155"/>
      <c r="I725" s="157"/>
      <c r="J725" s="155"/>
      <c r="K725" s="155"/>
      <c r="L725" s="171"/>
    </row>
    <row r="726" spans="3:12" s="30" customFormat="1" x14ac:dyDescent="0.2">
      <c r="C726" s="158"/>
      <c r="D726" s="159"/>
      <c r="E726" s="158"/>
      <c r="F726" s="155"/>
      <c r="G726" s="155"/>
      <c r="H726" s="155"/>
      <c r="I726" s="157"/>
      <c r="J726" s="155"/>
      <c r="K726" s="155"/>
      <c r="L726" s="171"/>
    </row>
    <row r="727" spans="3:12" s="30" customFormat="1" x14ac:dyDescent="0.2">
      <c r="C727" s="158"/>
      <c r="D727" s="159"/>
      <c r="E727" s="158"/>
      <c r="F727" s="155"/>
      <c r="G727" s="155"/>
      <c r="H727" s="155"/>
      <c r="I727" s="157"/>
      <c r="J727" s="155"/>
      <c r="K727" s="155"/>
      <c r="L727" s="171"/>
    </row>
    <row r="728" spans="3:12" s="30" customFormat="1" x14ac:dyDescent="0.2">
      <c r="C728" s="158"/>
      <c r="D728" s="159"/>
      <c r="E728" s="158"/>
      <c r="F728" s="155"/>
      <c r="G728" s="155"/>
      <c r="H728" s="155"/>
      <c r="I728" s="157"/>
      <c r="J728" s="155"/>
      <c r="K728" s="155"/>
      <c r="L728" s="171"/>
    </row>
    <row r="729" spans="3:12" s="30" customFormat="1" x14ac:dyDescent="0.2">
      <c r="C729" s="158"/>
      <c r="D729" s="159"/>
      <c r="E729" s="158"/>
      <c r="F729" s="155"/>
      <c r="G729" s="155"/>
      <c r="H729" s="155"/>
      <c r="I729" s="157"/>
      <c r="J729" s="155"/>
      <c r="K729" s="155"/>
      <c r="L729" s="171"/>
    </row>
    <row r="730" spans="3:12" s="30" customFormat="1" x14ac:dyDescent="0.2">
      <c r="C730" s="158"/>
      <c r="D730" s="159"/>
      <c r="E730" s="158"/>
      <c r="F730" s="155"/>
      <c r="G730" s="155"/>
      <c r="H730" s="155"/>
      <c r="I730" s="157"/>
      <c r="J730" s="155"/>
      <c r="K730" s="155"/>
      <c r="L730" s="171"/>
    </row>
    <row r="731" spans="3:12" s="30" customFormat="1" x14ac:dyDescent="0.2">
      <c r="C731" s="158"/>
      <c r="D731" s="159"/>
      <c r="E731" s="158"/>
      <c r="F731" s="155"/>
      <c r="G731" s="155"/>
      <c r="H731" s="155"/>
      <c r="I731" s="157"/>
      <c r="J731" s="155"/>
      <c r="K731" s="155"/>
      <c r="L731" s="171"/>
    </row>
    <row r="732" spans="3:12" s="30" customFormat="1" x14ac:dyDescent="0.2">
      <c r="C732" s="158"/>
      <c r="D732" s="159"/>
      <c r="E732" s="158"/>
      <c r="F732" s="155"/>
      <c r="G732" s="155"/>
      <c r="H732" s="155"/>
      <c r="I732" s="157"/>
      <c r="J732" s="155"/>
      <c r="K732" s="155"/>
      <c r="L732" s="171"/>
    </row>
    <row r="733" spans="3:12" s="30" customFormat="1" x14ac:dyDescent="0.2">
      <c r="C733" s="158"/>
      <c r="D733" s="159"/>
      <c r="E733" s="158"/>
      <c r="F733" s="155"/>
      <c r="G733" s="155"/>
      <c r="H733" s="155"/>
      <c r="I733" s="157"/>
      <c r="J733" s="155"/>
      <c r="K733" s="155"/>
      <c r="L733" s="171"/>
    </row>
    <row r="734" spans="3:12" s="30" customFormat="1" x14ac:dyDescent="0.2">
      <c r="C734" s="158"/>
      <c r="D734" s="159"/>
      <c r="E734" s="158"/>
      <c r="F734" s="155"/>
      <c r="G734" s="155"/>
      <c r="H734" s="155"/>
      <c r="I734" s="157"/>
      <c r="J734" s="155"/>
      <c r="K734" s="155"/>
      <c r="L734" s="171"/>
    </row>
    <row r="735" spans="3:12" s="30" customFormat="1" x14ac:dyDescent="0.2">
      <c r="C735" s="158"/>
      <c r="D735" s="159"/>
      <c r="E735" s="158"/>
      <c r="F735" s="155"/>
      <c r="G735" s="155"/>
      <c r="H735" s="155"/>
      <c r="I735" s="157"/>
      <c r="J735" s="155"/>
      <c r="K735" s="155"/>
      <c r="L735" s="171"/>
    </row>
    <row r="736" spans="3:12" s="30" customFormat="1" x14ac:dyDescent="0.2">
      <c r="C736" s="158"/>
      <c r="D736" s="159"/>
      <c r="E736" s="158"/>
      <c r="F736" s="155"/>
      <c r="G736" s="155"/>
      <c r="H736" s="155"/>
      <c r="I736" s="157"/>
      <c r="J736" s="155"/>
      <c r="K736" s="155"/>
      <c r="L736" s="171"/>
    </row>
    <row r="737" spans="3:12" s="30" customFormat="1" x14ac:dyDescent="0.2">
      <c r="C737" s="158"/>
      <c r="D737" s="159"/>
      <c r="E737" s="158"/>
      <c r="F737" s="155"/>
      <c r="G737" s="155"/>
      <c r="H737" s="155"/>
      <c r="I737" s="157"/>
      <c r="J737" s="155"/>
      <c r="K737" s="155"/>
      <c r="L737" s="171"/>
    </row>
    <row r="738" spans="3:12" s="30" customFormat="1" x14ac:dyDescent="0.2">
      <c r="C738" s="158"/>
      <c r="D738" s="159"/>
      <c r="E738" s="158"/>
      <c r="F738" s="155"/>
      <c r="G738" s="155"/>
      <c r="H738" s="155"/>
      <c r="I738" s="157"/>
      <c r="J738" s="155"/>
      <c r="K738" s="155"/>
      <c r="L738" s="171"/>
    </row>
    <row r="739" spans="3:12" s="30" customFormat="1" x14ac:dyDescent="0.2">
      <c r="C739" s="158"/>
      <c r="D739" s="159"/>
      <c r="E739" s="158"/>
      <c r="F739" s="155"/>
      <c r="G739" s="155"/>
      <c r="H739" s="155"/>
      <c r="I739" s="157"/>
      <c r="J739" s="155"/>
      <c r="K739" s="155"/>
      <c r="L739" s="171"/>
    </row>
    <row r="740" spans="3:12" s="30" customFormat="1" x14ac:dyDescent="0.2">
      <c r="C740" s="158"/>
      <c r="D740" s="159"/>
      <c r="E740" s="158"/>
      <c r="F740" s="155"/>
      <c r="G740" s="155"/>
      <c r="H740" s="155"/>
      <c r="I740" s="157"/>
      <c r="J740" s="155"/>
      <c r="K740" s="155"/>
      <c r="L740" s="171"/>
    </row>
    <row r="741" spans="3:12" s="30" customFormat="1" x14ac:dyDescent="0.2">
      <c r="C741" s="158"/>
      <c r="D741" s="159"/>
      <c r="E741" s="158"/>
      <c r="F741" s="155"/>
      <c r="G741" s="155"/>
      <c r="H741" s="155"/>
      <c r="I741" s="157"/>
      <c r="J741" s="155"/>
      <c r="K741" s="155"/>
      <c r="L741" s="171"/>
    </row>
    <row r="742" spans="3:12" s="30" customFormat="1" x14ac:dyDescent="0.2">
      <c r="C742" s="158"/>
      <c r="D742" s="159"/>
      <c r="E742" s="158"/>
      <c r="F742" s="155"/>
      <c r="G742" s="155"/>
      <c r="H742" s="155"/>
      <c r="I742" s="157"/>
      <c r="J742" s="155"/>
      <c r="K742" s="155"/>
      <c r="L742" s="171"/>
    </row>
    <row r="743" spans="3:12" s="30" customFormat="1" x14ac:dyDescent="0.2">
      <c r="C743" s="158"/>
      <c r="D743" s="159"/>
      <c r="E743" s="158"/>
      <c r="F743" s="155"/>
      <c r="G743" s="155"/>
      <c r="H743" s="155"/>
      <c r="I743" s="157"/>
      <c r="J743" s="155"/>
      <c r="K743" s="155"/>
      <c r="L743" s="171"/>
    </row>
    <row r="744" spans="3:12" s="30" customFormat="1" x14ac:dyDescent="0.2">
      <c r="C744" s="158"/>
      <c r="D744" s="159"/>
      <c r="E744" s="158"/>
      <c r="F744" s="155"/>
      <c r="G744" s="155"/>
      <c r="H744" s="155"/>
      <c r="I744" s="157"/>
      <c r="J744" s="155"/>
      <c r="K744" s="155"/>
      <c r="L744" s="171"/>
    </row>
    <row r="745" spans="3:12" s="30" customFormat="1" x14ac:dyDescent="0.2">
      <c r="C745" s="158"/>
      <c r="D745" s="159"/>
      <c r="E745" s="158"/>
      <c r="F745" s="155"/>
      <c r="G745" s="155"/>
      <c r="H745" s="155"/>
      <c r="I745" s="157"/>
      <c r="J745" s="155"/>
      <c r="K745" s="155"/>
      <c r="L745" s="171"/>
    </row>
    <row r="746" spans="3:12" s="30" customFormat="1" x14ac:dyDescent="0.2">
      <c r="C746" s="158"/>
      <c r="D746" s="159"/>
      <c r="E746" s="158"/>
      <c r="F746" s="155"/>
      <c r="G746" s="155"/>
      <c r="H746" s="155"/>
      <c r="I746" s="157"/>
      <c r="J746" s="155"/>
      <c r="K746" s="155"/>
      <c r="L746" s="171"/>
    </row>
    <row r="747" spans="3:12" s="30" customFormat="1" x14ac:dyDescent="0.2">
      <c r="C747" s="158"/>
      <c r="D747" s="159"/>
      <c r="E747" s="158"/>
      <c r="F747" s="155"/>
      <c r="G747" s="155"/>
      <c r="H747" s="155"/>
      <c r="I747" s="157"/>
      <c r="J747" s="155"/>
      <c r="K747" s="155"/>
      <c r="L747" s="171"/>
    </row>
    <row r="748" spans="3:12" s="30" customFormat="1" x14ac:dyDescent="0.2">
      <c r="C748" s="158"/>
      <c r="D748" s="159"/>
      <c r="E748" s="158"/>
      <c r="F748" s="155"/>
      <c r="G748" s="155"/>
      <c r="H748" s="155"/>
      <c r="I748" s="157"/>
      <c r="J748" s="155"/>
      <c r="K748" s="155"/>
      <c r="L748" s="171"/>
    </row>
    <row r="749" spans="3:12" s="30" customFormat="1" x14ac:dyDescent="0.2">
      <c r="C749" s="158"/>
      <c r="D749" s="159"/>
      <c r="E749" s="158"/>
      <c r="F749" s="155"/>
      <c r="G749" s="155"/>
      <c r="H749" s="155"/>
      <c r="I749" s="157"/>
      <c r="J749" s="155"/>
      <c r="K749" s="155"/>
      <c r="L749" s="171"/>
    </row>
    <row r="750" spans="3:12" s="30" customFormat="1" x14ac:dyDescent="0.2">
      <c r="C750" s="158"/>
      <c r="D750" s="159"/>
      <c r="E750" s="158"/>
      <c r="F750" s="155"/>
      <c r="G750" s="155"/>
      <c r="H750" s="155"/>
      <c r="I750" s="157"/>
      <c r="J750" s="155"/>
      <c r="K750" s="155"/>
      <c r="L750" s="171"/>
    </row>
    <row r="751" spans="3:12" s="30" customFormat="1" x14ac:dyDescent="0.2">
      <c r="C751" s="158"/>
      <c r="D751" s="159"/>
      <c r="E751" s="158"/>
      <c r="F751" s="155"/>
      <c r="G751" s="155"/>
      <c r="H751" s="155"/>
      <c r="I751" s="157"/>
      <c r="J751" s="155"/>
      <c r="K751" s="155"/>
      <c r="L751" s="171"/>
    </row>
    <row r="752" spans="3:12" s="30" customFormat="1" x14ac:dyDescent="0.2">
      <c r="C752" s="158"/>
      <c r="D752" s="159"/>
      <c r="E752" s="158"/>
      <c r="F752" s="155"/>
      <c r="G752" s="155"/>
      <c r="H752" s="155"/>
      <c r="I752" s="157"/>
      <c r="J752" s="155"/>
      <c r="K752" s="155"/>
      <c r="L752" s="171"/>
    </row>
    <row r="753" spans="3:12" s="30" customFormat="1" x14ac:dyDescent="0.2">
      <c r="C753" s="158"/>
      <c r="D753" s="159"/>
      <c r="E753" s="158"/>
      <c r="F753" s="155"/>
      <c r="G753" s="155"/>
      <c r="H753" s="155"/>
      <c r="I753" s="157"/>
      <c r="J753" s="155"/>
      <c r="K753" s="155"/>
      <c r="L753" s="171"/>
    </row>
    <row r="754" spans="3:12" s="30" customFormat="1" x14ac:dyDescent="0.2">
      <c r="C754" s="158"/>
      <c r="D754" s="159"/>
      <c r="E754" s="158"/>
      <c r="F754" s="155"/>
      <c r="G754" s="155"/>
      <c r="H754" s="155"/>
      <c r="I754" s="157"/>
      <c r="J754" s="155"/>
      <c r="K754" s="155"/>
      <c r="L754" s="171"/>
    </row>
    <row r="755" spans="3:12" s="30" customFormat="1" x14ac:dyDescent="0.2">
      <c r="C755" s="158"/>
      <c r="D755" s="159"/>
      <c r="E755" s="158"/>
      <c r="F755" s="155"/>
      <c r="G755" s="155"/>
      <c r="H755" s="155"/>
      <c r="I755" s="157"/>
      <c r="J755" s="155"/>
      <c r="K755" s="155"/>
      <c r="L755" s="171"/>
    </row>
    <row r="756" spans="3:12" s="30" customFormat="1" x14ac:dyDescent="0.2">
      <c r="C756" s="158"/>
      <c r="D756" s="159"/>
      <c r="E756" s="158"/>
      <c r="F756" s="155"/>
      <c r="G756" s="155"/>
      <c r="H756" s="155"/>
      <c r="I756" s="157"/>
      <c r="J756" s="155"/>
      <c r="K756" s="155"/>
      <c r="L756" s="171"/>
    </row>
    <row r="757" spans="3:12" s="30" customFormat="1" x14ac:dyDescent="0.2">
      <c r="C757" s="158"/>
      <c r="D757" s="159"/>
      <c r="E757" s="158"/>
      <c r="F757" s="155"/>
      <c r="G757" s="155"/>
      <c r="H757" s="155"/>
      <c r="I757" s="157"/>
      <c r="J757" s="155"/>
      <c r="K757" s="155"/>
      <c r="L757" s="171"/>
    </row>
    <row r="758" spans="3:12" s="30" customFormat="1" x14ac:dyDescent="0.2">
      <c r="C758" s="158"/>
      <c r="D758" s="159"/>
      <c r="E758" s="158"/>
      <c r="F758" s="155"/>
      <c r="G758" s="155"/>
      <c r="H758" s="155"/>
      <c r="I758" s="157"/>
      <c r="J758" s="155"/>
      <c r="K758" s="155"/>
      <c r="L758" s="171"/>
    </row>
    <row r="759" spans="3:12" s="30" customFormat="1" x14ac:dyDescent="0.2">
      <c r="C759" s="158"/>
      <c r="D759" s="159"/>
      <c r="E759" s="158"/>
      <c r="F759" s="155"/>
      <c r="G759" s="155"/>
      <c r="H759" s="155"/>
      <c r="I759" s="157"/>
      <c r="J759" s="155"/>
      <c r="K759" s="155"/>
      <c r="L759" s="171"/>
    </row>
    <row r="760" spans="3:12" s="30" customFormat="1" x14ac:dyDescent="0.2">
      <c r="C760" s="158"/>
      <c r="D760" s="159"/>
      <c r="E760" s="158"/>
      <c r="F760" s="155"/>
      <c r="G760" s="155"/>
      <c r="H760" s="155"/>
      <c r="I760" s="157"/>
      <c r="J760" s="155"/>
      <c r="K760" s="155"/>
      <c r="L760" s="171"/>
    </row>
    <row r="761" spans="3:12" s="30" customFormat="1" x14ac:dyDescent="0.2">
      <c r="C761" s="158"/>
      <c r="D761" s="159"/>
      <c r="E761" s="158"/>
      <c r="F761" s="155"/>
      <c r="G761" s="155"/>
      <c r="H761" s="155"/>
      <c r="I761" s="157"/>
      <c r="J761" s="155"/>
      <c r="K761" s="155"/>
      <c r="L761" s="171"/>
    </row>
    <row r="762" spans="3:12" s="30" customFormat="1" x14ac:dyDescent="0.2">
      <c r="C762" s="158"/>
      <c r="D762" s="159"/>
      <c r="E762" s="158"/>
      <c r="F762" s="155"/>
      <c r="G762" s="155"/>
      <c r="H762" s="155"/>
      <c r="I762" s="157"/>
      <c r="J762" s="155"/>
      <c r="K762" s="155"/>
      <c r="L762" s="171"/>
    </row>
    <row r="763" spans="3:12" s="30" customFormat="1" x14ac:dyDescent="0.2">
      <c r="C763" s="158"/>
      <c r="D763" s="159"/>
      <c r="E763" s="158"/>
      <c r="F763" s="155"/>
      <c r="G763" s="155"/>
      <c r="H763" s="155"/>
      <c r="I763" s="157"/>
      <c r="J763" s="155"/>
      <c r="K763" s="155"/>
      <c r="L763" s="171"/>
    </row>
    <row r="764" spans="3:12" s="30" customFormat="1" x14ac:dyDescent="0.2">
      <c r="C764" s="158"/>
      <c r="D764" s="159"/>
      <c r="E764" s="158"/>
      <c r="F764" s="155"/>
      <c r="G764" s="155"/>
      <c r="H764" s="155"/>
      <c r="I764" s="157"/>
      <c r="J764" s="155"/>
      <c r="K764" s="155"/>
      <c r="L764" s="171"/>
    </row>
    <row r="765" spans="3:12" s="30" customFormat="1" x14ac:dyDescent="0.2">
      <c r="C765" s="158"/>
      <c r="D765" s="159"/>
      <c r="E765" s="158"/>
      <c r="F765" s="155"/>
      <c r="G765" s="155"/>
      <c r="H765" s="155"/>
      <c r="I765" s="157"/>
      <c r="J765" s="155"/>
      <c r="K765" s="155"/>
      <c r="L765" s="171"/>
    </row>
    <row r="766" spans="3:12" s="30" customFormat="1" x14ac:dyDescent="0.2">
      <c r="C766" s="158"/>
      <c r="D766" s="159"/>
      <c r="E766" s="158"/>
      <c r="F766" s="155"/>
      <c r="G766" s="155"/>
      <c r="H766" s="155"/>
      <c r="I766" s="157"/>
      <c r="J766" s="155"/>
      <c r="K766" s="155"/>
      <c r="L766" s="171"/>
    </row>
    <row r="767" spans="3:12" s="30" customFormat="1" x14ac:dyDescent="0.2">
      <c r="C767" s="158"/>
      <c r="D767" s="159"/>
      <c r="E767" s="158"/>
      <c r="F767" s="155"/>
      <c r="G767" s="155"/>
      <c r="H767" s="155"/>
      <c r="I767" s="157"/>
      <c r="J767" s="155"/>
      <c r="K767" s="155"/>
      <c r="L767" s="171"/>
    </row>
    <row r="768" spans="3:12" s="30" customFormat="1" x14ac:dyDescent="0.2">
      <c r="C768" s="158"/>
      <c r="D768" s="159"/>
      <c r="E768" s="158"/>
      <c r="F768" s="155"/>
      <c r="G768" s="155"/>
      <c r="H768" s="155"/>
      <c r="I768" s="157"/>
      <c r="J768" s="155"/>
      <c r="K768" s="155"/>
      <c r="L768" s="171"/>
    </row>
    <row r="769" spans="3:12" s="30" customFormat="1" x14ac:dyDescent="0.2">
      <c r="C769" s="158"/>
      <c r="D769" s="159"/>
      <c r="E769" s="158"/>
      <c r="F769" s="155"/>
      <c r="G769" s="155"/>
      <c r="H769" s="155"/>
      <c r="I769" s="157"/>
      <c r="J769" s="155"/>
      <c r="K769" s="155"/>
      <c r="L769" s="171"/>
    </row>
    <row r="770" spans="3:12" s="30" customFormat="1" x14ac:dyDescent="0.2">
      <c r="C770" s="158"/>
      <c r="D770" s="159"/>
      <c r="E770" s="158"/>
      <c r="F770" s="155"/>
      <c r="G770" s="155"/>
      <c r="H770" s="155"/>
      <c r="I770" s="157"/>
      <c r="J770" s="155"/>
      <c r="K770" s="155"/>
      <c r="L770" s="171"/>
    </row>
    <row r="771" spans="3:12" s="30" customFormat="1" x14ac:dyDescent="0.2">
      <c r="C771" s="158"/>
      <c r="D771" s="159"/>
      <c r="E771" s="158"/>
      <c r="F771" s="155"/>
      <c r="G771" s="155"/>
      <c r="H771" s="155"/>
      <c r="I771" s="157"/>
      <c r="J771" s="155"/>
      <c r="K771" s="155"/>
      <c r="L771" s="171"/>
    </row>
    <row r="772" spans="3:12" s="30" customFormat="1" x14ac:dyDescent="0.2">
      <c r="C772" s="158"/>
      <c r="D772" s="159"/>
      <c r="E772" s="158"/>
      <c r="F772" s="155"/>
      <c r="G772" s="155"/>
      <c r="H772" s="155"/>
      <c r="I772" s="157"/>
      <c r="J772" s="155"/>
      <c r="K772" s="155"/>
      <c r="L772" s="171"/>
    </row>
    <row r="773" spans="3:12" s="30" customFormat="1" x14ac:dyDescent="0.2">
      <c r="C773" s="158"/>
      <c r="D773" s="159"/>
      <c r="E773" s="158"/>
      <c r="F773" s="155"/>
      <c r="G773" s="155"/>
      <c r="H773" s="155"/>
      <c r="I773" s="157"/>
      <c r="J773" s="155"/>
      <c r="K773" s="155"/>
      <c r="L773" s="171"/>
    </row>
    <row r="774" spans="3:12" s="30" customFormat="1" x14ac:dyDescent="0.2">
      <c r="C774" s="158"/>
      <c r="D774" s="159"/>
      <c r="E774" s="158"/>
      <c r="F774" s="155"/>
      <c r="G774" s="155"/>
      <c r="H774" s="155"/>
      <c r="I774" s="157"/>
      <c r="J774" s="155"/>
      <c r="K774" s="155"/>
      <c r="L774" s="171"/>
    </row>
    <row r="775" spans="3:12" s="30" customFormat="1" x14ac:dyDescent="0.2">
      <c r="C775" s="158"/>
      <c r="D775" s="159"/>
      <c r="E775" s="158"/>
      <c r="F775" s="155"/>
      <c r="G775" s="155"/>
      <c r="H775" s="155"/>
      <c r="I775" s="157"/>
      <c r="J775" s="155"/>
      <c r="K775" s="155"/>
      <c r="L775" s="171"/>
    </row>
    <row r="776" spans="3:12" s="30" customFormat="1" x14ac:dyDescent="0.2">
      <c r="C776" s="158"/>
      <c r="D776" s="159"/>
      <c r="E776" s="158"/>
      <c r="F776" s="155"/>
      <c r="G776" s="155"/>
      <c r="H776" s="155"/>
      <c r="I776" s="157"/>
      <c r="J776" s="155"/>
      <c r="K776" s="155"/>
      <c r="L776" s="171"/>
    </row>
    <row r="777" spans="3:12" s="30" customFormat="1" x14ac:dyDescent="0.2">
      <c r="C777" s="158"/>
      <c r="D777" s="159"/>
      <c r="E777" s="158"/>
      <c r="F777" s="155"/>
      <c r="G777" s="155"/>
      <c r="H777" s="155"/>
      <c r="I777" s="157"/>
      <c r="J777" s="155"/>
      <c r="K777" s="155"/>
      <c r="L777" s="171"/>
    </row>
    <row r="778" spans="3:12" s="30" customFormat="1" x14ac:dyDescent="0.2">
      <c r="C778" s="158"/>
      <c r="D778" s="159"/>
      <c r="E778" s="158"/>
      <c r="F778" s="155"/>
      <c r="G778" s="155"/>
      <c r="H778" s="155"/>
      <c r="I778" s="157"/>
      <c r="J778" s="155"/>
      <c r="K778" s="155"/>
      <c r="L778" s="171"/>
    </row>
    <row r="779" spans="3:12" s="30" customFormat="1" x14ac:dyDescent="0.2">
      <c r="C779" s="158"/>
      <c r="D779" s="159"/>
      <c r="E779" s="158"/>
      <c r="F779" s="155"/>
      <c r="G779" s="155"/>
      <c r="H779" s="155"/>
      <c r="I779" s="157"/>
      <c r="J779" s="155"/>
      <c r="K779" s="155"/>
      <c r="L779" s="171"/>
    </row>
    <row r="780" spans="3:12" s="30" customFormat="1" x14ac:dyDescent="0.2">
      <c r="C780" s="158"/>
      <c r="D780" s="159"/>
      <c r="E780" s="158"/>
      <c r="F780" s="155"/>
      <c r="G780" s="155"/>
      <c r="H780" s="155"/>
      <c r="I780" s="157"/>
      <c r="J780" s="155"/>
      <c r="K780" s="155"/>
      <c r="L780" s="171"/>
    </row>
    <row r="781" spans="3:12" s="30" customFormat="1" x14ac:dyDescent="0.2">
      <c r="C781" s="158"/>
      <c r="D781" s="159"/>
      <c r="E781" s="158"/>
      <c r="F781" s="155"/>
      <c r="G781" s="155"/>
      <c r="H781" s="155"/>
      <c r="I781" s="157"/>
      <c r="J781" s="155"/>
      <c r="K781" s="155"/>
      <c r="L781" s="171"/>
    </row>
    <row r="782" spans="3:12" s="30" customFormat="1" x14ac:dyDescent="0.2">
      <c r="C782" s="158"/>
      <c r="D782" s="159"/>
      <c r="E782" s="158"/>
      <c r="F782" s="155"/>
      <c r="G782" s="155"/>
      <c r="H782" s="155"/>
      <c r="I782" s="157"/>
      <c r="J782" s="155"/>
      <c r="K782" s="155"/>
      <c r="L782" s="171"/>
    </row>
    <row r="783" spans="3:12" s="30" customFormat="1" x14ac:dyDescent="0.2">
      <c r="C783" s="158"/>
      <c r="D783" s="159"/>
      <c r="E783" s="158"/>
      <c r="F783" s="155"/>
      <c r="G783" s="155"/>
      <c r="H783" s="155"/>
      <c r="I783" s="157"/>
      <c r="J783" s="155"/>
      <c r="K783" s="155"/>
      <c r="L783" s="171"/>
    </row>
    <row r="784" spans="3:12" s="30" customFormat="1" x14ac:dyDescent="0.2">
      <c r="C784" s="158"/>
      <c r="D784" s="159"/>
      <c r="E784" s="158"/>
      <c r="F784" s="155"/>
      <c r="G784" s="155"/>
      <c r="H784" s="155"/>
      <c r="I784" s="157"/>
      <c r="J784" s="155"/>
      <c r="K784" s="155"/>
      <c r="L784" s="171"/>
    </row>
    <row r="785" spans="3:12" s="30" customFormat="1" x14ac:dyDescent="0.2">
      <c r="C785" s="158"/>
      <c r="D785" s="159"/>
      <c r="E785" s="158"/>
      <c r="F785" s="155"/>
      <c r="G785" s="155"/>
      <c r="H785" s="155"/>
      <c r="I785" s="157"/>
      <c r="J785" s="155"/>
      <c r="K785" s="155"/>
      <c r="L785" s="171"/>
    </row>
    <row r="786" spans="3:12" s="30" customFormat="1" x14ac:dyDescent="0.2">
      <c r="C786" s="158"/>
      <c r="D786" s="159"/>
      <c r="E786" s="158"/>
      <c r="F786" s="155"/>
      <c r="G786" s="155"/>
      <c r="H786" s="155"/>
      <c r="I786" s="157"/>
      <c r="J786" s="155"/>
      <c r="K786" s="155"/>
      <c r="L786" s="171"/>
    </row>
    <row r="787" spans="3:12" s="30" customFormat="1" x14ac:dyDescent="0.2">
      <c r="C787" s="158"/>
      <c r="D787" s="159"/>
      <c r="E787" s="158"/>
      <c r="F787" s="155"/>
      <c r="G787" s="155"/>
      <c r="H787" s="155"/>
      <c r="I787" s="157"/>
      <c r="J787" s="155"/>
      <c r="K787" s="155"/>
      <c r="L787" s="171"/>
    </row>
    <row r="788" spans="3:12" s="30" customFormat="1" x14ac:dyDescent="0.2">
      <c r="C788" s="158"/>
      <c r="D788" s="159"/>
      <c r="E788" s="158"/>
      <c r="F788" s="155"/>
      <c r="G788" s="155"/>
      <c r="H788" s="155"/>
      <c r="I788" s="157"/>
      <c r="J788" s="155"/>
      <c r="K788" s="155"/>
      <c r="L788" s="171"/>
    </row>
    <row r="789" spans="3:12" s="30" customFormat="1" x14ac:dyDescent="0.2">
      <c r="C789" s="158"/>
      <c r="D789" s="159"/>
      <c r="E789" s="158"/>
      <c r="F789" s="155"/>
      <c r="G789" s="155"/>
      <c r="H789" s="155"/>
      <c r="I789" s="157"/>
      <c r="J789" s="155"/>
      <c r="K789" s="155"/>
      <c r="L789" s="171"/>
    </row>
    <row r="790" spans="3:12" s="30" customFormat="1" x14ac:dyDescent="0.2">
      <c r="C790" s="158"/>
      <c r="D790" s="159"/>
      <c r="E790" s="158"/>
      <c r="F790" s="155"/>
      <c r="G790" s="155"/>
      <c r="H790" s="155"/>
      <c r="I790" s="157"/>
      <c r="J790" s="155"/>
      <c r="K790" s="155"/>
      <c r="L790" s="171"/>
    </row>
    <row r="791" spans="3:12" s="30" customFormat="1" x14ac:dyDescent="0.2">
      <c r="C791" s="158"/>
      <c r="D791" s="159"/>
      <c r="E791" s="158"/>
      <c r="F791" s="155"/>
      <c r="G791" s="155"/>
      <c r="H791" s="155"/>
      <c r="I791" s="157"/>
      <c r="J791" s="155"/>
      <c r="K791" s="155"/>
      <c r="L791" s="171"/>
    </row>
    <row r="792" spans="3:12" s="30" customFormat="1" x14ac:dyDescent="0.2">
      <c r="C792" s="158"/>
      <c r="D792" s="159"/>
      <c r="E792" s="158"/>
      <c r="F792" s="155"/>
      <c r="G792" s="155"/>
      <c r="H792" s="155"/>
      <c r="I792" s="157"/>
      <c r="J792" s="155"/>
      <c r="K792" s="155"/>
      <c r="L792" s="171"/>
    </row>
    <row r="793" spans="3:12" s="30" customFormat="1" x14ac:dyDescent="0.2">
      <c r="C793" s="158"/>
      <c r="D793" s="159"/>
      <c r="E793" s="158"/>
      <c r="F793" s="155"/>
      <c r="G793" s="155"/>
      <c r="H793" s="155"/>
      <c r="I793" s="157"/>
      <c r="J793" s="155"/>
      <c r="K793" s="155"/>
      <c r="L793" s="171"/>
    </row>
    <row r="794" spans="3:12" s="30" customFormat="1" x14ac:dyDescent="0.2">
      <c r="C794" s="158"/>
      <c r="D794" s="159"/>
      <c r="E794" s="158"/>
      <c r="F794" s="155"/>
      <c r="G794" s="155"/>
      <c r="H794" s="155"/>
      <c r="I794" s="157"/>
      <c r="J794" s="155"/>
      <c r="K794" s="155"/>
      <c r="L794" s="171"/>
    </row>
    <row r="795" spans="3:12" s="30" customFormat="1" x14ac:dyDescent="0.2">
      <c r="C795" s="158"/>
      <c r="D795" s="159"/>
      <c r="E795" s="158"/>
      <c r="F795" s="155"/>
      <c r="G795" s="155"/>
      <c r="H795" s="155"/>
      <c r="I795" s="157"/>
      <c r="J795" s="155"/>
      <c r="K795" s="155"/>
      <c r="L795" s="171"/>
    </row>
    <row r="796" spans="3:12" s="30" customFormat="1" x14ac:dyDescent="0.2">
      <c r="C796" s="158"/>
      <c r="D796" s="159"/>
      <c r="E796" s="158"/>
      <c r="F796" s="155"/>
      <c r="G796" s="155"/>
      <c r="H796" s="155"/>
      <c r="I796" s="157"/>
      <c r="J796" s="155"/>
      <c r="K796" s="155"/>
      <c r="L796" s="171"/>
    </row>
    <row r="797" spans="3:12" s="30" customFormat="1" x14ac:dyDescent="0.2">
      <c r="C797" s="158"/>
      <c r="D797" s="159"/>
      <c r="E797" s="158"/>
      <c r="F797" s="155"/>
      <c r="G797" s="155"/>
      <c r="H797" s="155"/>
      <c r="I797" s="157"/>
      <c r="J797" s="155"/>
      <c r="K797" s="155"/>
      <c r="L797" s="171"/>
    </row>
    <row r="798" spans="3:12" s="30" customFormat="1" x14ac:dyDescent="0.2">
      <c r="C798" s="158"/>
      <c r="D798" s="159"/>
      <c r="E798" s="158"/>
      <c r="F798" s="155"/>
      <c r="G798" s="155"/>
      <c r="H798" s="155"/>
      <c r="I798" s="157"/>
      <c r="J798" s="155"/>
      <c r="K798" s="155"/>
      <c r="L798" s="171"/>
    </row>
    <row r="799" spans="3:12" s="30" customFormat="1" x14ac:dyDescent="0.2">
      <c r="C799" s="158"/>
      <c r="D799" s="159"/>
      <c r="E799" s="158"/>
      <c r="F799" s="155"/>
      <c r="G799" s="155"/>
      <c r="H799" s="155"/>
      <c r="I799" s="157"/>
      <c r="J799" s="155"/>
      <c r="K799" s="155"/>
      <c r="L799" s="171"/>
    </row>
    <row r="800" spans="3:12" s="30" customFormat="1" x14ac:dyDescent="0.2">
      <c r="C800" s="158"/>
      <c r="D800" s="159"/>
      <c r="E800" s="158"/>
      <c r="F800" s="155"/>
      <c r="G800" s="155"/>
      <c r="H800" s="155"/>
      <c r="I800" s="157"/>
      <c r="J800" s="155"/>
      <c r="K800" s="155"/>
      <c r="L800" s="171"/>
    </row>
    <row r="801" spans="3:12" s="30" customFormat="1" x14ac:dyDescent="0.2">
      <c r="C801" s="158"/>
      <c r="D801" s="159"/>
      <c r="E801" s="158"/>
      <c r="F801" s="155"/>
      <c r="G801" s="155"/>
      <c r="H801" s="155"/>
      <c r="I801" s="157"/>
      <c r="J801" s="155"/>
      <c r="K801" s="155"/>
      <c r="L801" s="171"/>
    </row>
    <row r="802" spans="3:12" s="30" customFormat="1" x14ac:dyDescent="0.2">
      <c r="C802" s="158"/>
      <c r="D802" s="159"/>
      <c r="E802" s="158"/>
      <c r="F802" s="155"/>
      <c r="G802" s="155"/>
      <c r="H802" s="155"/>
      <c r="I802" s="157"/>
      <c r="J802" s="155"/>
      <c r="K802" s="155"/>
      <c r="L802" s="171"/>
    </row>
    <row r="803" spans="3:12" s="30" customFormat="1" x14ac:dyDescent="0.2">
      <c r="C803" s="158"/>
      <c r="D803" s="159"/>
      <c r="E803" s="158"/>
      <c r="F803" s="155"/>
      <c r="G803" s="155"/>
      <c r="H803" s="155"/>
      <c r="I803" s="157"/>
      <c r="J803" s="155"/>
      <c r="K803" s="155"/>
      <c r="L803" s="171"/>
    </row>
    <row r="804" spans="3:12" s="30" customFormat="1" x14ac:dyDescent="0.2">
      <c r="C804" s="158"/>
      <c r="D804" s="159"/>
      <c r="E804" s="158"/>
      <c r="F804" s="155"/>
      <c r="G804" s="155"/>
      <c r="H804" s="155"/>
      <c r="I804" s="157"/>
      <c r="J804" s="155"/>
      <c r="K804" s="155"/>
      <c r="L804" s="171"/>
    </row>
    <row r="805" spans="3:12" s="30" customFormat="1" x14ac:dyDescent="0.2">
      <c r="C805" s="158"/>
      <c r="D805" s="159"/>
      <c r="E805" s="158"/>
      <c r="F805" s="155"/>
      <c r="G805" s="155"/>
      <c r="H805" s="155"/>
      <c r="I805" s="157"/>
      <c r="J805" s="155"/>
      <c r="K805" s="155"/>
      <c r="L805" s="171"/>
    </row>
    <row r="806" spans="3:12" s="30" customFormat="1" x14ac:dyDescent="0.2">
      <c r="C806" s="158"/>
      <c r="D806" s="159"/>
      <c r="E806" s="158"/>
      <c r="F806" s="155"/>
      <c r="G806" s="155"/>
      <c r="H806" s="155"/>
      <c r="I806" s="157"/>
      <c r="J806" s="155"/>
      <c r="K806" s="155"/>
      <c r="L806" s="171"/>
    </row>
    <row r="807" spans="3:12" s="30" customFormat="1" x14ac:dyDescent="0.2">
      <c r="C807" s="158"/>
      <c r="D807" s="159"/>
      <c r="E807" s="158"/>
      <c r="F807" s="155"/>
      <c r="G807" s="155"/>
      <c r="H807" s="155"/>
      <c r="I807" s="157"/>
      <c r="J807" s="155"/>
      <c r="K807" s="155"/>
      <c r="L807" s="171"/>
    </row>
    <row r="808" spans="3:12" s="30" customFormat="1" x14ac:dyDescent="0.2">
      <c r="C808" s="158"/>
      <c r="D808" s="159"/>
      <c r="E808" s="158"/>
      <c r="F808" s="155"/>
      <c r="G808" s="155"/>
      <c r="H808" s="155"/>
      <c r="I808" s="157"/>
      <c r="J808" s="155"/>
      <c r="K808" s="155"/>
      <c r="L808" s="171"/>
    </row>
    <row r="809" spans="3:12" s="30" customFormat="1" x14ac:dyDescent="0.2">
      <c r="C809" s="158"/>
      <c r="D809" s="159"/>
      <c r="E809" s="158"/>
      <c r="F809" s="155"/>
      <c r="G809" s="155"/>
      <c r="H809" s="155"/>
      <c r="I809" s="157"/>
      <c r="J809" s="155"/>
      <c r="K809" s="155"/>
      <c r="L809" s="171"/>
    </row>
    <row r="810" spans="3:12" s="30" customFormat="1" x14ac:dyDescent="0.2">
      <c r="C810" s="158"/>
      <c r="D810" s="159"/>
      <c r="E810" s="158"/>
      <c r="F810" s="155"/>
      <c r="G810" s="155"/>
      <c r="H810" s="155"/>
      <c r="I810" s="157"/>
      <c r="J810" s="155"/>
      <c r="K810" s="155"/>
      <c r="L810" s="171"/>
    </row>
    <row r="811" spans="3:12" s="30" customFormat="1" x14ac:dyDescent="0.2">
      <c r="C811" s="158"/>
      <c r="D811" s="159"/>
      <c r="E811" s="158"/>
      <c r="F811" s="155"/>
      <c r="G811" s="155"/>
      <c r="H811" s="155"/>
      <c r="I811" s="157"/>
      <c r="J811" s="155"/>
      <c r="K811" s="155"/>
      <c r="L811" s="171"/>
    </row>
    <row r="812" spans="3:12" s="30" customFormat="1" x14ac:dyDescent="0.2">
      <c r="C812" s="158"/>
      <c r="D812" s="159"/>
      <c r="E812" s="158"/>
      <c r="F812" s="155"/>
      <c r="G812" s="155"/>
      <c r="H812" s="155"/>
      <c r="I812" s="157"/>
      <c r="J812" s="155"/>
      <c r="K812" s="155"/>
      <c r="L812" s="171"/>
    </row>
    <row r="813" spans="3:12" s="30" customFormat="1" x14ac:dyDescent="0.2">
      <c r="C813" s="158"/>
      <c r="D813" s="159"/>
      <c r="E813" s="158"/>
      <c r="F813" s="155"/>
      <c r="G813" s="155"/>
      <c r="H813" s="155"/>
      <c r="I813" s="157"/>
      <c r="J813" s="155"/>
      <c r="K813" s="155"/>
      <c r="L813" s="171"/>
    </row>
    <row r="814" spans="3:12" s="30" customFormat="1" x14ac:dyDescent="0.2">
      <c r="C814" s="158"/>
      <c r="D814" s="159"/>
      <c r="E814" s="158"/>
      <c r="F814" s="155"/>
      <c r="G814" s="155"/>
      <c r="H814" s="155"/>
      <c r="I814" s="157"/>
      <c r="J814" s="155"/>
      <c r="K814" s="155"/>
      <c r="L814" s="171"/>
    </row>
    <row r="815" spans="3:12" s="30" customFormat="1" x14ac:dyDescent="0.2">
      <c r="C815" s="158"/>
      <c r="D815" s="159"/>
      <c r="E815" s="158"/>
      <c r="F815" s="155"/>
      <c r="G815" s="155"/>
      <c r="H815" s="155"/>
      <c r="I815" s="157"/>
      <c r="J815" s="155"/>
      <c r="K815" s="155"/>
      <c r="L815" s="171"/>
    </row>
    <row r="816" spans="3:12" s="30" customFormat="1" x14ac:dyDescent="0.2">
      <c r="C816" s="158"/>
      <c r="D816" s="159"/>
      <c r="E816" s="158"/>
      <c r="F816" s="155"/>
      <c r="G816" s="155"/>
      <c r="H816" s="155"/>
      <c r="I816" s="157"/>
      <c r="J816" s="155"/>
      <c r="K816" s="155"/>
      <c r="L816" s="171"/>
    </row>
    <row r="817" spans="3:12" s="30" customFormat="1" x14ac:dyDescent="0.2">
      <c r="C817" s="158"/>
      <c r="D817" s="159"/>
      <c r="E817" s="158"/>
      <c r="F817" s="155"/>
      <c r="G817" s="155"/>
      <c r="H817" s="155"/>
      <c r="I817" s="157"/>
      <c r="J817" s="155"/>
      <c r="K817" s="155"/>
      <c r="L817" s="171"/>
    </row>
    <row r="818" spans="3:12" s="30" customFormat="1" x14ac:dyDescent="0.2">
      <c r="C818" s="158"/>
      <c r="D818" s="159"/>
      <c r="E818" s="158"/>
      <c r="F818" s="155"/>
      <c r="G818" s="155"/>
      <c r="H818" s="155"/>
      <c r="I818" s="157"/>
      <c r="J818" s="155"/>
      <c r="K818" s="155"/>
      <c r="L818" s="171"/>
    </row>
    <row r="819" spans="3:12" s="30" customFormat="1" x14ac:dyDescent="0.2">
      <c r="C819" s="158"/>
      <c r="D819" s="159"/>
      <c r="E819" s="158"/>
      <c r="F819" s="155"/>
      <c r="G819" s="155"/>
      <c r="H819" s="155"/>
      <c r="I819" s="157"/>
      <c r="J819" s="155"/>
      <c r="K819" s="155"/>
      <c r="L819" s="171"/>
    </row>
    <row r="820" spans="3:12" s="30" customFormat="1" x14ac:dyDescent="0.2">
      <c r="C820" s="158"/>
      <c r="D820" s="159"/>
      <c r="E820" s="158"/>
      <c r="F820" s="155"/>
      <c r="G820" s="155"/>
      <c r="H820" s="155"/>
      <c r="I820" s="157"/>
      <c r="J820" s="155"/>
      <c r="K820" s="155"/>
      <c r="L820" s="171"/>
    </row>
    <row r="821" spans="3:12" s="30" customFormat="1" x14ac:dyDescent="0.2">
      <c r="C821" s="158"/>
      <c r="D821" s="159"/>
      <c r="E821" s="158"/>
      <c r="F821" s="155"/>
      <c r="G821" s="155"/>
      <c r="H821" s="155"/>
      <c r="I821" s="157"/>
      <c r="J821" s="155"/>
      <c r="K821" s="155"/>
      <c r="L821" s="171"/>
    </row>
    <row r="822" spans="3:12" s="30" customFormat="1" x14ac:dyDescent="0.2">
      <c r="C822" s="158"/>
      <c r="D822" s="159"/>
      <c r="E822" s="158"/>
      <c r="F822" s="155"/>
      <c r="G822" s="155"/>
      <c r="H822" s="155"/>
      <c r="I822" s="157"/>
      <c r="J822" s="155"/>
      <c r="K822" s="155"/>
      <c r="L822" s="171"/>
    </row>
    <row r="823" spans="3:12" s="30" customFormat="1" x14ac:dyDescent="0.2">
      <c r="C823" s="158"/>
      <c r="D823" s="159"/>
      <c r="E823" s="158"/>
      <c r="F823" s="155"/>
      <c r="G823" s="155"/>
      <c r="H823" s="155"/>
      <c r="I823" s="157"/>
      <c r="J823" s="155"/>
      <c r="K823" s="155"/>
      <c r="L823" s="171"/>
    </row>
    <row r="824" spans="3:12" s="30" customFormat="1" x14ac:dyDescent="0.2">
      <c r="C824" s="158"/>
      <c r="D824" s="159"/>
      <c r="E824" s="158"/>
      <c r="F824" s="155"/>
      <c r="G824" s="155"/>
      <c r="H824" s="155"/>
      <c r="I824" s="157"/>
      <c r="J824" s="155"/>
      <c r="K824" s="155"/>
      <c r="L824" s="171"/>
    </row>
    <row r="825" spans="3:12" s="30" customFormat="1" x14ac:dyDescent="0.2">
      <c r="C825" s="158"/>
      <c r="D825" s="159"/>
      <c r="E825" s="158"/>
      <c r="F825" s="155"/>
      <c r="G825" s="155"/>
      <c r="H825" s="155"/>
      <c r="I825" s="157"/>
      <c r="J825" s="155"/>
      <c r="K825" s="155"/>
      <c r="L825" s="171"/>
    </row>
    <row r="826" spans="3:12" s="30" customFormat="1" x14ac:dyDescent="0.2">
      <c r="C826" s="158"/>
      <c r="D826" s="159"/>
      <c r="E826" s="158"/>
      <c r="F826" s="155"/>
      <c r="G826" s="155"/>
      <c r="H826" s="155"/>
      <c r="I826" s="157"/>
      <c r="J826" s="155"/>
      <c r="K826" s="155"/>
      <c r="L826" s="171"/>
    </row>
    <row r="827" spans="3:12" s="30" customFormat="1" x14ac:dyDescent="0.2">
      <c r="C827" s="158"/>
      <c r="D827" s="159"/>
      <c r="E827" s="158"/>
      <c r="F827" s="155"/>
      <c r="G827" s="155"/>
      <c r="H827" s="155"/>
      <c r="I827" s="157"/>
      <c r="J827" s="155"/>
      <c r="K827" s="155"/>
      <c r="L827" s="171"/>
    </row>
    <row r="828" spans="3:12" s="30" customFormat="1" x14ac:dyDescent="0.2">
      <c r="C828" s="158"/>
      <c r="D828" s="159"/>
      <c r="E828" s="158"/>
      <c r="F828" s="155"/>
      <c r="G828" s="155"/>
      <c r="H828" s="155"/>
      <c r="I828" s="157"/>
      <c r="J828" s="155"/>
      <c r="K828" s="155"/>
      <c r="L828" s="171"/>
    </row>
    <row r="829" spans="3:12" s="30" customFormat="1" x14ac:dyDescent="0.2">
      <c r="C829" s="158"/>
      <c r="D829" s="159"/>
      <c r="E829" s="158"/>
      <c r="F829" s="155"/>
      <c r="G829" s="155"/>
      <c r="H829" s="155"/>
      <c r="I829" s="157"/>
      <c r="J829" s="155"/>
      <c r="K829" s="155"/>
      <c r="L829" s="171"/>
    </row>
    <row r="830" spans="3:12" s="30" customFormat="1" x14ac:dyDescent="0.2">
      <c r="C830" s="158"/>
      <c r="D830" s="159"/>
      <c r="E830" s="158"/>
      <c r="F830" s="155"/>
      <c r="G830" s="155"/>
      <c r="H830" s="155"/>
      <c r="I830" s="157"/>
      <c r="J830" s="155"/>
      <c r="K830" s="155"/>
      <c r="L830" s="171"/>
    </row>
    <row r="831" spans="3:12" s="30" customFormat="1" x14ac:dyDescent="0.2">
      <c r="C831" s="158"/>
      <c r="D831" s="159"/>
      <c r="E831" s="158"/>
      <c r="F831" s="155"/>
      <c r="G831" s="155"/>
      <c r="H831" s="155"/>
      <c r="I831" s="157"/>
      <c r="J831" s="155"/>
      <c r="K831" s="155"/>
      <c r="L831" s="171"/>
    </row>
    <row r="832" spans="3:12" s="30" customFormat="1" x14ac:dyDescent="0.2">
      <c r="C832" s="158"/>
      <c r="D832" s="159"/>
      <c r="E832" s="158"/>
      <c r="F832" s="155"/>
      <c r="G832" s="155"/>
      <c r="H832" s="155"/>
      <c r="I832" s="157"/>
      <c r="J832" s="155"/>
      <c r="K832" s="155"/>
      <c r="L832" s="171"/>
    </row>
    <row r="833" spans="3:12" s="30" customFormat="1" x14ac:dyDescent="0.2">
      <c r="C833" s="158"/>
      <c r="D833" s="159"/>
      <c r="E833" s="158"/>
      <c r="F833" s="155"/>
      <c r="G833" s="155"/>
      <c r="H833" s="155"/>
      <c r="I833" s="157"/>
      <c r="J833" s="155"/>
      <c r="K833" s="155"/>
      <c r="L833" s="171"/>
    </row>
    <row r="834" spans="3:12" s="30" customFormat="1" x14ac:dyDescent="0.2">
      <c r="C834" s="158"/>
      <c r="D834" s="159"/>
      <c r="E834" s="158"/>
      <c r="F834" s="155"/>
      <c r="G834" s="155"/>
      <c r="H834" s="155"/>
      <c r="I834" s="157"/>
      <c r="J834" s="155"/>
      <c r="K834" s="155"/>
      <c r="L834" s="171"/>
    </row>
    <row r="835" spans="3:12" s="30" customFormat="1" x14ac:dyDescent="0.2">
      <c r="C835" s="158"/>
      <c r="D835" s="159"/>
      <c r="E835" s="158"/>
      <c r="F835" s="155"/>
      <c r="G835" s="155"/>
      <c r="H835" s="155"/>
      <c r="I835" s="157"/>
      <c r="J835" s="155"/>
      <c r="K835" s="155"/>
      <c r="L835" s="171"/>
    </row>
    <row r="836" spans="3:12" s="30" customFormat="1" x14ac:dyDescent="0.2">
      <c r="C836" s="158"/>
      <c r="D836" s="159"/>
      <c r="E836" s="158"/>
      <c r="F836" s="155"/>
      <c r="G836" s="155"/>
      <c r="H836" s="155"/>
      <c r="I836" s="157"/>
      <c r="J836" s="155"/>
      <c r="K836" s="155"/>
      <c r="L836" s="171"/>
    </row>
    <row r="837" spans="3:12" s="30" customFormat="1" x14ac:dyDescent="0.2">
      <c r="C837" s="158"/>
      <c r="D837" s="159"/>
      <c r="E837" s="158"/>
      <c r="F837" s="155"/>
      <c r="G837" s="155"/>
      <c r="H837" s="155"/>
      <c r="I837" s="157"/>
      <c r="J837" s="155"/>
      <c r="K837" s="155"/>
      <c r="L837" s="171"/>
    </row>
    <row r="838" spans="3:12" s="30" customFormat="1" x14ac:dyDescent="0.2">
      <c r="C838" s="158"/>
      <c r="D838" s="159"/>
      <c r="E838" s="158"/>
      <c r="F838" s="155"/>
      <c r="G838" s="155"/>
      <c r="H838" s="155"/>
      <c r="I838" s="157"/>
      <c r="J838" s="155"/>
      <c r="K838" s="155"/>
      <c r="L838" s="171"/>
    </row>
    <row r="839" spans="3:12" s="30" customFormat="1" x14ac:dyDescent="0.2">
      <c r="C839" s="158"/>
      <c r="D839" s="159"/>
      <c r="E839" s="158"/>
      <c r="F839" s="155"/>
      <c r="G839" s="155"/>
      <c r="H839" s="155"/>
      <c r="I839" s="157"/>
      <c r="J839" s="155"/>
      <c r="K839" s="155"/>
      <c r="L839" s="171"/>
    </row>
    <row r="840" spans="3:12" s="30" customFormat="1" x14ac:dyDescent="0.2">
      <c r="C840" s="158"/>
      <c r="D840" s="159"/>
      <c r="E840" s="158"/>
      <c r="F840" s="155"/>
      <c r="G840" s="155"/>
      <c r="H840" s="155"/>
      <c r="I840" s="157"/>
      <c r="J840" s="155"/>
      <c r="K840" s="155"/>
      <c r="L840" s="171"/>
    </row>
    <row r="841" spans="3:12" s="30" customFormat="1" x14ac:dyDescent="0.2">
      <c r="C841" s="158"/>
      <c r="D841" s="159"/>
      <c r="E841" s="158"/>
      <c r="F841" s="155"/>
      <c r="G841" s="155"/>
      <c r="H841" s="155"/>
      <c r="I841" s="157"/>
      <c r="J841" s="155"/>
      <c r="K841" s="155"/>
      <c r="L841" s="171"/>
    </row>
    <row r="842" spans="3:12" s="30" customFormat="1" x14ac:dyDescent="0.2">
      <c r="C842" s="158"/>
      <c r="D842" s="159"/>
      <c r="E842" s="158"/>
      <c r="F842" s="155"/>
      <c r="G842" s="155"/>
      <c r="H842" s="155"/>
      <c r="I842" s="157"/>
      <c r="J842" s="155"/>
      <c r="K842" s="155"/>
      <c r="L842" s="171"/>
    </row>
    <row r="843" spans="3:12" s="30" customFormat="1" x14ac:dyDescent="0.2">
      <c r="C843" s="158"/>
      <c r="D843" s="159"/>
      <c r="E843" s="158"/>
      <c r="F843" s="155"/>
      <c r="G843" s="155"/>
      <c r="H843" s="155"/>
      <c r="I843" s="157"/>
      <c r="J843" s="155"/>
      <c r="K843" s="155"/>
      <c r="L843" s="171"/>
    </row>
    <row r="844" spans="3:12" s="30" customFormat="1" x14ac:dyDescent="0.2">
      <c r="C844" s="158"/>
      <c r="D844" s="159"/>
      <c r="E844" s="158"/>
      <c r="F844" s="155"/>
      <c r="G844" s="155"/>
      <c r="H844" s="155"/>
      <c r="I844" s="157"/>
      <c r="J844" s="155"/>
      <c r="K844" s="155"/>
      <c r="L844" s="171"/>
    </row>
    <row r="845" spans="3:12" s="30" customFormat="1" x14ac:dyDescent="0.2">
      <c r="C845" s="158"/>
      <c r="D845" s="159"/>
      <c r="E845" s="158"/>
      <c r="F845" s="155"/>
      <c r="G845" s="155"/>
      <c r="H845" s="155"/>
      <c r="I845" s="157"/>
      <c r="J845" s="155"/>
      <c r="K845" s="155"/>
      <c r="L845" s="171"/>
    </row>
    <row r="846" spans="3:12" s="30" customFormat="1" x14ac:dyDescent="0.2">
      <c r="C846" s="158"/>
      <c r="D846" s="159"/>
      <c r="E846" s="158"/>
      <c r="F846" s="155"/>
      <c r="G846" s="155"/>
      <c r="H846" s="155"/>
      <c r="I846" s="157"/>
      <c r="J846" s="155"/>
      <c r="K846" s="155"/>
      <c r="L846" s="171"/>
    </row>
    <row r="847" spans="3:12" s="30" customFormat="1" x14ac:dyDescent="0.2">
      <c r="C847" s="158"/>
      <c r="D847" s="159"/>
      <c r="E847" s="158"/>
      <c r="F847" s="155"/>
      <c r="G847" s="155"/>
      <c r="H847" s="155"/>
      <c r="I847" s="157"/>
      <c r="J847" s="155"/>
      <c r="K847" s="155"/>
      <c r="L847" s="171"/>
    </row>
    <row r="848" spans="3:12" s="30" customFormat="1" x14ac:dyDescent="0.2">
      <c r="C848" s="158"/>
      <c r="D848" s="159"/>
      <c r="E848" s="158"/>
      <c r="F848" s="155"/>
      <c r="G848" s="155"/>
      <c r="H848" s="155"/>
      <c r="I848" s="157"/>
      <c r="J848" s="155"/>
      <c r="K848" s="155"/>
      <c r="L848" s="171"/>
    </row>
    <row r="849" spans="1:12" s="30" customFormat="1" x14ac:dyDescent="0.2">
      <c r="C849" s="158"/>
      <c r="D849" s="159"/>
      <c r="E849" s="158"/>
      <c r="F849" s="155"/>
      <c r="G849" s="155"/>
      <c r="H849" s="155"/>
      <c r="I849" s="157"/>
      <c r="J849" s="155"/>
      <c r="K849" s="155"/>
      <c r="L849" s="171"/>
    </row>
    <row r="850" spans="1:12" s="30" customFormat="1" x14ac:dyDescent="0.2">
      <c r="C850" s="158"/>
      <c r="D850" s="159"/>
      <c r="E850" s="158"/>
      <c r="F850" s="155"/>
      <c r="G850" s="155"/>
      <c r="H850" s="155"/>
      <c r="I850" s="157"/>
      <c r="J850" s="155"/>
      <c r="K850" s="155"/>
      <c r="L850" s="171"/>
    </row>
    <row r="851" spans="1:12" s="30" customFormat="1" x14ac:dyDescent="0.2">
      <c r="C851" s="158"/>
      <c r="D851" s="159"/>
      <c r="E851" s="158"/>
      <c r="F851" s="155"/>
      <c r="G851" s="155"/>
      <c r="H851" s="155"/>
      <c r="I851" s="157"/>
      <c r="J851" s="155"/>
      <c r="K851" s="155"/>
      <c r="L851" s="171"/>
    </row>
    <row r="852" spans="1:12" x14ac:dyDescent="0.2">
      <c r="A852" s="147"/>
      <c r="B852" s="147"/>
      <c r="C852" s="148"/>
      <c r="D852" s="149"/>
      <c r="E852" s="148"/>
      <c r="F852" s="150"/>
      <c r="G852" s="150"/>
      <c r="H852" s="150"/>
      <c r="I852" s="151"/>
      <c r="J852" s="150"/>
      <c r="K852" s="150"/>
      <c r="L852" s="172"/>
    </row>
  </sheetData>
  <autoFilter ref="A1:AJ361" xr:uid="{00000000-0001-0000-0000-000000000000}"/>
  <mergeCells count="51">
    <mergeCell ref="A30:E30"/>
    <mergeCell ref="A32:E32"/>
    <mergeCell ref="A34:E34"/>
    <mergeCell ref="A346:D346"/>
    <mergeCell ref="A60:F60"/>
    <mergeCell ref="A63:F63"/>
    <mergeCell ref="A81:F81"/>
    <mergeCell ref="A86:F86"/>
    <mergeCell ref="A328:F328"/>
    <mergeCell ref="A344:F344"/>
    <mergeCell ref="A325:F325"/>
    <mergeCell ref="A307:F307"/>
    <mergeCell ref="A310:F310"/>
    <mergeCell ref="A312:F312"/>
    <mergeCell ref="A296:F296"/>
    <mergeCell ref="A304:F304"/>
    <mergeCell ref="A293:F293"/>
    <mergeCell ref="A277:F277"/>
    <mergeCell ref="A279:F279"/>
    <mergeCell ref="A283:F283"/>
    <mergeCell ref="A242:F242"/>
    <mergeCell ref="A261:F261"/>
    <mergeCell ref="A51:F51"/>
    <mergeCell ref="A266:F266"/>
    <mergeCell ref="A269:F269"/>
    <mergeCell ref="A185:F185"/>
    <mergeCell ref="A199:F199"/>
    <mergeCell ref="A219:F219"/>
    <mergeCell ref="A230:F230"/>
    <mergeCell ref="A136:F136"/>
    <mergeCell ref="A144:F144"/>
    <mergeCell ref="A159:F159"/>
    <mergeCell ref="A117:F117"/>
    <mergeCell ref="A65:E65"/>
    <mergeCell ref="A92:D92"/>
    <mergeCell ref="A21:E21"/>
    <mergeCell ref="A17:F17"/>
    <mergeCell ref="A128:F128"/>
    <mergeCell ref="A99:F99"/>
    <mergeCell ref="A115:F115"/>
    <mergeCell ref="A90:F90"/>
    <mergeCell ref="A43:F43"/>
    <mergeCell ref="A67:E67"/>
    <mergeCell ref="A45:F45"/>
    <mergeCell ref="A94:F94"/>
    <mergeCell ref="A101:F101"/>
    <mergeCell ref="A19:E19"/>
    <mergeCell ref="A24:E24"/>
    <mergeCell ref="A37:E37"/>
    <mergeCell ref="A26:E26"/>
    <mergeCell ref="A28:E28"/>
  </mergeCells>
  <phoneticPr fontId="9" type="noConversion"/>
  <pageMargins left="0.31496062992125984" right="0.11811023622047245" top="0.15748031496062992" bottom="0.15748031496062992" header="0.31496062992125984" footer="0.31496062992125984"/>
  <pageSetup scale="7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E605C-6391-4D75-BBBC-11B69A34581D}">
  <dimension ref="A1:Y1387"/>
  <sheetViews>
    <sheetView zoomScale="160" zoomScaleNormal="160" workbookViewId="0">
      <pane ySplit="1" topLeftCell="A1355" activePane="bottomLeft" state="frozen"/>
      <selection activeCell="D1" sqref="D1"/>
      <selection pane="bottomLeft" activeCell="I1387" sqref="I1387"/>
    </sheetView>
  </sheetViews>
  <sheetFormatPr baseColWidth="10" defaultColWidth="11.42578125" defaultRowHeight="12.75" x14ac:dyDescent="0.2"/>
  <cols>
    <col min="1" max="1" width="9.7109375" style="253" customWidth="1"/>
    <col min="2" max="2" width="13.7109375" style="253" customWidth="1"/>
    <col min="3" max="3" width="7.5703125" style="253" customWidth="1"/>
    <col min="4" max="4" width="35.140625" style="253" customWidth="1"/>
    <col min="5" max="5" width="6.85546875" style="253" customWidth="1"/>
    <col min="6" max="6" width="10.7109375" style="253" customWidth="1"/>
    <col min="7" max="7" width="9" style="254" customWidth="1"/>
    <col min="8" max="8" width="10.7109375" style="254" bestFit="1" customWidth="1"/>
    <col min="9" max="9" width="10.85546875" style="255" customWidth="1"/>
    <col min="10" max="10" width="12.28515625" style="256" customWidth="1"/>
    <col min="11" max="11" width="12.28515625" style="255" customWidth="1"/>
    <col min="12" max="12" width="16.140625" style="254" customWidth="1"/>
    <col min="13" max="13" width="4.7109375" style="253" customWidth="1"/>
    <col min="14" max="16384" width="11.42578125" style="253"/>
  </cols>
  <sheetData>
    <row r="1" spans="1:12" s="180" customFormat="1" ht="31.9" customHeight="1" x14ac:dyDescent="0.15">
      <c r="A1" s="174" t="s">
        <v>0</v>
      </c>
      <c r="B1" s="175" t="s">
        <v>656</v>
      </c>
      <c r="C1" s="175" t="s">
        <v>1</v>
      </c>
      <c r="D1" s="174" t="s">
        <v>657</v>
      </c>
      <c r="E1" s="174" t="s">
        <v>2</v>
      </c>
      <c r="F1" s="174" t="s">
        <v>3</v>
      </c>
      <c r="G1" s="176" t="s">
        <v>658</v>
      </c>
      <c r="H1" s="176" t="s">
        <v>659</v>
      </c>
      <c r="I1" s="177" t="s">
        <v>660</v>
      </c>
      <c r="J1" s="178" t="s">
        <v>661</v>
      </c>
      <c r="K1" s="177" t="s">
        <v>662</v>
      </c>
      <c r="L1" s="179" t="s">
        <v>663</v>
      </c>
    </row>
    <row r="2" spans="1:12" s="180" customFormat="1" ht="8.65" customHeight="1" x14ac:dyDescent="0.15">
      <c r="A2" s="181" t="s">
        <v>664</v>
      </c>
      <c r="B2" s="181" t="s">
        <v>665</v>
      </c>
      <c r="C2" s="181" t="s">
        <v>666</v>
      </c>
      <c r="D2" s="181" t="s">
        <v>667</v>
      </c>
      <c r="E2" s="181" t="s">
        <v>9</v>
      </c>
      <c r="F2" s="181" t="s">
        <v>10</v>
      </c>
      <c r="G2" s="20"/>
      <c r="H2" s="20">
        <v>28615</v>
      </c>
      <c r="I2" s="182"/>
      <c r="J2" s="182">
        <f>42700-H2</f>
        <v>14085</v>
      </c>
      <c r="K2" s="182">
        <f>+J2-I2</f>
        <v>14085</v>
      </c>
      <c r="L2" s="183" t="s">
        <v>551</v>
      </c>
    </row>
    <row r="3" spans="1:12" s="180" customFormat="1" ht="8.65" customHeight="1" x14ac:dyDescent="0.15">
      <c r="A3" s="184" t="s">
        <v>664</v>
      </c>
      <c r="B3" s="184" t="s">
        <v>668</v>
      </c>
      <c r="C3" s="184" t="s">
        <v>666</v>
      </c>
      <c r="D3" s="184" t="s">
        <v>669</v>
      </c>
      <c r="E3" s="184" t="s">
        <v>9</v>
      </c>
      <c r="F3" s="185"/>
      <c r="G3" s="15"/>
      <c r="H3" s="15">
        <v>7320</v>
      </c>
      <c r="I3" s="182"/>
      <c r="J3" s="182">
        <f>7320-H3</f>
        <v>0</v>
      </c>
      <c r="K3" s="182"/>
      <c r="L3" s="183" t="s">
        <v>551</v>
      </c>
    </row>
    <row r="4" spans="1:12" s="180" customFormat="1" ht="8.65" customHeight="1" x14ac:dyDescent="0.15">
      <c r="A4" s="181" t="s">
        <v>664</v>
      </c>
      <c r="B4" s="181" t="s">
        <v>670</v>
      </c>
      <c r="C4" s="181" t="s">
        <v>666</v>
      </c>
      <c r="D4" s="181" t="s">
        <v>671</v>
      </c>
      <c r="E4" s="181" t="s">
        <v>9</v>
      </c>
      <c r="F4" s="186"/>
      <c r="G4" s="20"/>
      <c r="H4" s="20">
        <v>13560</v>
      </c>
      <c r="I4" s="182"/>
      <c r="J4" s="182">
        <f>13560-H4</f>
        <v>0</v>
      </c>
      <c r="K4" s="182"/>
      <c r="L4" s="183" t="s">
        <v>551</v>
      </c>
    </row>
    <row r="5" spans="1:12" s="180" customFormat="1" ht="8.65" customHeight="1" x14ac:dyDescent="0.15">
      <c r="A5" s="184" t="s">
        <v>664</v>
      </c>
      <c r="B5" s="184" t="s">
        <v>672</v>
      </c>
      <c r="C5" s="184" t="s">
        <v>673</v>
      </c>
      <c r="D5" s="184" t="s">
        <v>674</v>
      </c>
      <c r="E5" s="184" t="s">
        <v>9</v>
      </c>
      <c r="F5" s="185"/>
      <c r="G5" s="15"/>
      <c r="H5" s="15">
        <v>48000</v>
      </c>
      <c r="I5" s="182"/>
      <c r="J5" s="182">
        <f>48000-H5</f>
        <v>0</v>
      </c>
      <c r="K5" s="182"/>
      <c r="L5" s="183" t="s">
        <v>551</v>
      </c>
    </row>
    <row r="6" spans="1:12" s="180" customFormat="1" ht="8.65" customHeight="1" x14ac:dyDescent="0.15">
      <c r="A6" s="181" t="s">
        <v>664</v>
      </c>
      <c r="B6" s="181" t="s">
        <v>675</v>
      </c>
      <c r="C6" s="181" t="s">
        <v>676</v>
      </c>
      <c r="D6" s="181" t="s">
        <v>677</v>
      </c>
      <c r="E6" s="181" t="s">
        <v>9</v>
      </c>
      <c r="F6" s="186"/>
      <c r="G6" s="20"/>
      <c r="H6" s="20">
        <v>14940</v>
      </c>
      <c r="I6" s="182"/>
      <c r="J6" s="182">
        <f>14940-H6</f>
        <v>0</v>
      </c>
      <c r="K6" s="182"/>
      <c r="L6" s="183" t="s">
        <v>551</v>
      </c>
    </row>
    <row r="7" spans="1:12" s="180" customFormat="1" ht="8.65" customHeight="1" x14ac:dyDescent="0.15">
      <c r="A7" s="184" t="s">
        <v>664</v>
      </c>
      <c r="B7" s="184" t="s">
        <v>678</v>
      </c>
      <c r="C7" s="184" t="s">
        <v>676</v>
      </c>
      <c r="D7" s="184" t="s">
        <v>679</v>
      </c>
      <c r="E7" s="184" t="s">
        <v>9</v>
      </c>
      <c r="F7" s="185"/>
      <c r="G7" s="15"/>
      <c r="H7" s="15">
        <v>4380</v>
      </c>
      <c r="I7" s="182"/>
      <c r="J7" s="182">
        <f>4380-H7</f>
        <v>0</v>
      </c>
      <c r="K7" s="182"/>
      <c r="L7" s="183" t="s">
        <v>551</v>
      </c>
    </row>
    <row r="8" spans="1:12" s="180" customFormat="1" ht="8.65" customHeight="1" x14ac:dyDescent="0.15">
      <c r="A8" s="181" t="s">
        <v>664</v>
      </c>
      <c r="B8" s="181" t="s">
        <v>680</v>
      </c>
      <c r="C8" s="181" t="s">
        <v>676</v>
      </c>
      <c r="D8" s="181" t="s">
        <v>681</v>
      </c>
      <c r="E8" s="181" t="s">
        <v>9</v>
      </c>
      <c r="F8" s="186"/>
      <c r="G8" s="20"/>
      <c r="H8" s="20">
        <v>4380</v>
      </c>
      <c r="I8" s="182"/>
      <c r="J8" s="182">
        <f>4380-H8</f>
        <v>0</v>
      </c>
      <c r="K8" s="182"/>
      <c r="L8" s="183" t="s">
        <v>551</v>
      </c>
    </row>
    <row r="9" spans="1:12" s="180" customFormat="1" ht="8.65" customHeight="1" x14ac:dyDescent="0.15">
      <c r="A9" s="184" t="s">
        <v>664</v>
      </c>
      <c r="B9" s="184" t="s">
        <v>682</v>
      </c>
      <c r="C9" s="184" t="s">
        <v>683</v>
      </c>
      <c r="D9" s="184" t="s">
        <v>684</v>
      </c>
      <c r="E9" s="184" t="s">
        <v>9</v>
      </c>
      <c r="F9" s="185"/>
      <c r="G9" s="15"/>
      <c r="H9" s="15">
        <v>18470</v>
      </c>
      <c r="I9" s="182"/>
      <c r="J9" s="182"/>
      <c r="K9" s="182"/>
      <c r="L9" s="183" t="s">
        <v>551</v>
      </c>
    </row>
    <row r="10" spans="1:12" s="180" customFormat="1" ht="8.65" customHeight="1" x14ac:dyDescent="0.15">
      <c r="A10" s="181" t="s">
        <v>664</v>
      </c>
      <c r="B10" s="181" t="s">
        <v>685</v>
      </c>
      <c r="C10" s="181" t="s">
        <v>683</v>
      </c>
      <c r="D10" s="181" t="s">
        <v>686</v>
      </c>
      <c r="E10" s="181" t="s">
        <v>9</v>
      </c>
      <c r="F10" s="186"/>
      <c r="G10" s="20"/>
      <c r="H10" s="20">
        <v>2160</v>
      </c>
      <c r="I10" s="182"/>
      <c r="J10" s="182"/>
      <c r="K10" s="182"/>
      <c r="L10" s="183" t="s">
        <v>551</v>
      </c>
    </row>
    <row r="11" spans="1:12" s="180" customFormat="1" ht="8.65" customHeight="1" x14ac:dyDescent="0.15">
      <c r="A11" s="184" t="s">
        <v>664</v>
      </c>
      <c r="B11" s="184" t="s">
        <v>687</v>
      </c>
      <c r="C11" s="184" t="s">
        <v>683</v>
      </c>
      <c r="D11" s="184" t="s">
        <v>688</v>
      </c>
      <c r="E11" s="184" t="s">
        <v>9</v>
      </c>
      <c r="F11" s="185"/>
      <c r="G11" s="15"/>
      <c r="H11" s="15">
        <v>48500</v>
      </c>
      <c r="I11" s="182"/>
      <c r="J11" s="182"/>
      <c r="K11" s="182"/>
      <c r="L11" s="183" t="s">
        <v>551</v>
      </c>
    </row>
    <row r="12" spans="1:12" s="180" customFormat="1" ht="8.65" customHeight="1" x14ac:dyDescent="0.15">
      <c r="A12" s="181" t="s">
        <v>664</v>
      </c>
      <c r="B12" s="181" t="s">
        <v>689</v>
      </c>
      <c r="C12" s="181" t="s">
        <v>683</v>
      </c>
      <c r="D12" s="181" t="s">
        <v>690</v>
      </c>
      <c r="E12" s="181" t="s">
        <v>9</v>
      </c>
      <c r="F12" s="186"/>
      <c r="G12" s="20"/>
      <c r="H12" s="20">
        <v>17760</v>
      </c>
      <c r="I12" s="182"/>
      <c r="J12" s="182"/>
      <c r="K12" s="182"/>
      <c r="L12" s="183" t="s">
        <v>551</v>
      </c>
    </row>
    <row r="13" spans="1:12" s="180" customFormat="1" ht="8.65" customHeight="1" x14ac:dyDescent="0.15">
      <c r="A13" s="184" t="s">
        <v>664</v>
      </c>
      <c r="B13" s="184" t="s">
        <v>691</v>
      </c>
      <c r="C13" s="184" t="s">
        <v>683</v>
      </c>
      <c r="D13" s="184" t="s">
        <v>692</v>
      </c>
      <c r="E13" s="184" t="s">
        <v>9</v>
      </c>
      <c r="F13" s="185"/>
      <c r="G13" s="15"/>
      <c r="H13" s="15">
        <v>1845</v>
      </c>
      <c r="I13" s="182"/>
      <c r="J13" s="182"/>
      <c r="K13" s="182"/>
      <c r="L13" s="183" t="s">
        <v>551</v>
      </c>
    </row>
    <row r="14" spans="1:12" s="180" customFormat="1" ht="8.65" customHeight="1" x14ac:dyDescent="0.15">
      <c r="A14" s="181" t="s">
        <v>664</v>
      </c>
      <c r="B14" s="181" t="s">
        <v>693</v>
      </c>
      <c r="C14" s="181" t="s">
        <v>694</v>
      </c>
      <c r="D14" s="181" t="s">
        <v>695</v>
      </c>
      <c r="E14" s="181" t="s">
        <v>9</v>
      </c>
      <c r="F14" s="186"/>
      <c r="G14" s="20"/>
      <c r="H14" s="20">
        <v>36000</v>
      </c>
      <c r="I14" s="182"/>
      <c r="J14" s="182"/>
      <c r="K14" s="182"/>
      <c r="L14" s="183" t="s">
        <v>551</v>
      </c>
    </row>
    <row r="15" spans="1:12" s="180" customFormat="1" ht="8.65" customHeight="1" x14ac:dyDescent="0.15">
      <c r="A15" s="184" t="s">
        <v>664</v>
      </c>
      <c r="B15" s="184" t="s">
        <v>696</v>
      </c>
      <c r="C15" s="184" t="s">
        <v>694</v>
      </c>
      <c r="D15" s="184" t="s">
        <v>697</v>
      </c>
      <c r="E15" s="184" t="s">
        <v>9</v>
      </c>
      <c r="F15" s="185"/>
      <c r="G15" s="15"/>
      <c r="H15" s="15">
        <v>15000</v>
      </c>
      <c r="I15" s="182"/>
      <c r="J15" s="182"/>
      <c r="K15" s="182"/>
      <c r="L15" s="183" t="s">
        <v>551</v>
      </c>
    </row>
    <row r="16" spans="1:12" s="180" customFormat="1" ht="8.65" customHeight="1" x14ac:dyDescent="0.15">
      <c r="A16" s="181" t="s">
        <v>664</v>
      </c>
      <c r="B16" s="181" t="s">
        <v>698</v>
      </c>
      <c r="C16" s="181" t="s">
        <v>683</v>
      </c>
      <c r="D16" s="181" t="s">
        <v>699</v>
      </c>
      <c r="E16" s="181" t="s">
        <v>9</v>
      </c>
      <c r="F16" s="186"/>
      <c r="G16" s="20"/>
      <c r="H16" s="20">
        <v>30000</v>
      </c>
      <c r="I16" s="182"/>
      <c r="J16" s="182"/>
      <c r="K16" s="182"/>
      <c r="L16" s="183" t="s">
        <v>551</v>
      </c>
    </row>
    <row r="17" spans="1:12" s="180" customFormat="1" ht="8.65" customHeight="1" x14ac:dyDescent="0.15">
      <c r="A17" s="187" t="s">
        <v>664</v>
      </c>
      <c r="B17" s="187" t="s">
        <v>700</v>
      </c>
      <c r="C17" s="187" t="s">
        <v>683</v>
      </c>
      <c r="D17" s="187" t="s">
        <v>701</v>
      </c>
      <c r="E17" s="187" t="s">
        <v>9</v>
      </c>
      <c r="F17" s="188"/>
      <c r="G17" s="18"/>
      <c r="H17" s="18">
        <v>1890</v>
      </c>
      <c r="I17" s="189"/>
      <c r="J17" s="189"/>
      <c r="K17" s="189"/>
      <c r="L17" s="190" t="s">
        <v>551</v>
      </c>
    </row>
    <row r="18" spans="1:12" s="180" customFormat="1" ht="8.65" customHeight="1" x14ac:dyDescent="0.15">
      <c r="A18" s="187" t="s">
        <v>664</v>
      </c>
      <c r="B18" s="187" t="s">
        <v>702</v>
      </c>
      <c r="C18" s="187" t="s">
        <v>666</v>
      </c>
      <c r="D18" s="187" t="s">
        <v>703</v>
      </c>
      <c r="E18" s="187" t="s">
        <v>9</v>
      </c>
      <c r="F18" s="188"/>
      <c r="G18" s="18"/>
      <c r="H18" s="18">
        <v>7605</v>
      </c>
      <c r="I18" s="189"/>
      <c r="J18" s="189"/>
      <c r="K18" s="189"/>
      <c r="L18" s="190" t="s">
        <v>551</v>
      </c>
    </row>
    <row r="19" spans="1:12" s="180" customFormat="1" ht="8.65" customHeight="1" x14ac:dyDescent="0.15">
      <c r="A19" s="187" t="s">
        <v>664</v>
      </c>
      <c r="B19" s="187" t="s">
        <v>704</v>
      </c>
      <c r="C19" s="187" t="s">
        <v>683</v>
      </c>
      <c r="D19" s="187" t="s">
        <v>705</v>
      </c>
      <c r="E19" s="187" t="s">
        <v>9</v>
      </c>
      <c r="F19" s="188"/>
      <c r="G19" s="18"/>
      <c r="H19" s="18">
        <v>1560</v>
      </c>
      <c r="I19" s="189"/>
      <c r="J19" s="189"/>
      <c r="K19" s="189"/>
      <c r="L19" s="190" t="s">
        <v>551</v>
      </c>
    </row>
    <row r="20" spans="1:12" s="180" customFormat="1" ht="8.65" customHeight="1" x14ac:dyDescent="0.15">
      <c r="A20" s="187" t="s">
        <v>664</v>
      </c>
      <c r="B20" s="187" t="s">
        <v>706</v>
      </c>
      <c r="C20" s="187" t="s">
        <v>707</v>
      </c>
      <c r="D20" s="187" t="s">
        <v>708</v>
      </c>
      <c r="E20" s="187" t="s">
        <v>9</v>
      </c>
      <c r="F20" s="188"/>
      <c r="G20" s="18"/>
      <c r="H20" s="18">
        <v>60000</v>
      </c>
      <c r="I20" s="189"/>
      <c r="J20" s="189"/>
      <c r="K20" s="189"/>
      <c r="L20" s="190" t="s">
        <v>551</v>
      </c>
    </row>
    <row r="21" spans="1:12" s="180" customFormat="1" ht="8.65" customHeight="1" x14ac:dyDescent="0.15">
      <c r="A21" s="187" t="s">
        <v>664</v>
      </c>
      <c r="B21" s="187" t="s">
        <v>709</v>
      </c>
      <c r="C21" s="187" t="s">
        <v>707</v>
      </c>
      <c r="D21" s="187" t="s">
        <v>710</v>
      </c>
      <c r="E21" s="187" t="s">
        <v>9</v>
      </c>
      <c r="F21" s="188"/>
      <c r="G21" s="18"/>
      <c r="H21" s="51">
        <v>124572</v>
      </c>
      <c r="I21" s="189">
        <v>266274.90000000002</v>
      </c>
      <c r="J21" s="189">
        <f>480000-H21</f>
        <v>355428</v>
      </c>
      <c r="K21" s="189">
        <f>+J21-I21</f>
        <v>89153.099999999977</v>
      </c>
      <c r="L21" s="190" t="s">
        <v>551</v>
      </c>
    </row>
    <row r="22" spans="1:12" s="180" customFormat="1" ht="8.65" customHeight="1" x14ac:dyDescent="0.15">
      <c r="A22" s="187" t="s">
        <v>664</v>
      </c>
      <c r="B22" s="187" t="s">
        <v>711</v>
      </c>
      <c r="C22" s="187" t="s">
        <v>673</v>
      </c>
      <c r="D22" s="187" t="s">
        <v>712</v>
      </c>
      <c r="E22" s="187" t="s">
        <v>9</v>
      </c>
      <c r="F22" s="188"/>
      <c r="G22" s="18"/>
      <c r="H22" s="18">
        <v>216000</v>
      </c>
      <c r="I22" s="189"/>
      <c r="J22" s="189"/>
      <c r="K22" s="189"/>
      <c r="L22" s="190" t="s">
        <v>551</v>
      </c>
    </row>
    <row r="23" spans="1:12" s="180" customFormat="1" ht="8.65" customHeight="1" x14ac:dyDescent="0.15">
      <c r="A23" s="187" t="s">
        <v>664</v>
      </c>
      <c r="B23" s="187" t="s">
        <v>713</v>
      </c>
      <c r="C23" s="187" t="s">
        <v>714</v>
      </c>
      <c r="D23" s="187" t="s">
        <v>715</v>
      </c>
      <c r="E23" s="187" t="s">
        <v>9</v>
      </c>
      <c r="F23" s="188"/>
      <c r="G23" s="18"/>
      <c r="H23" s="18">
        <v>10000</v>
      </c>
      <c r="I23" s="189"/>
      <c r="J23" s="189"/>
      <c r="K23" s="189"/>
      <c r="L23" s="190" t="s">
        <v>551</v>
      </c>
    </row>
    <row r="24" spans="1:12" s="180" customFormat="1" ht="8.65" customHeight="1" x14ac:dyDescent="0.15">
      <c r="A24" s="187" t="s">
        <v>664</v>
      </c>
      <c r="B24" s="187" t="s">
        <v>716</v>
      </c>
      <c r="C24" s="187" t="s">
        <v>717</v>
      </c>
      <c r="D24" s="187" t="s">
        <v>718</v>
      </c>
      <c r="E24" s="187" t="s">
        <v>9</v>
      </c>
      <c r="F24" s="188"/>
      <c r="G24" s="18"/>
      <c r="H24" s="18">
        <v>42000</v>
      </c>
      <c r="I24" s="189"/>
      <c r="J24" s="189"/>
      <c r="K24" s="189"/>
      <c r="L24" s="190" t="s">
        <v>551</v>
      </c>
    </row>
    <row r="25" spans="1:12" s="180" customFormat="1" ht="8.65" customHeight="1" x14ac:dyDescent="0.15">
      <c r="A25" s="187" t="s">
        <v>664</v>
      </c>
      <c r="B25" s="187" t="s">
        <v>719</v>
      </c>
      <c r="C25" s="187" t="s">
        <v>720</v>
      </c>
      <c r="D25" s="187" t="s">
        <v>721</v>
      </c>
      <c r="E25" s="187" t="s">
        <v>9</v>
      </c>
      <c r="F25" s="188"/>
      <c r="G25" s="18"/>
      <c r="H25" s="18">
        <v>15000</v>
      </c>
      <c r="I25" s="189"/>
      <c r="J25" s="189"/>
      <c r="K25" s="189"/>
      <c r="L25" s="190" t="s">
        <v>551</v>
      </c>
    </row>
    <row r="26" spans="1:12" s="180" customFormat="1" ht="8.65" customHeight="1" x14ac:dyDescent="0.15">
      <c r="A26" s="187" t="s">
        <v>664</v>
      </c>
      <c r="B26" s="187" t="s">
        <v>722</v>
      </c>
      <c r="C26" s="187" t="s">
        <v>720</v>
      </c>
      <c r="D26" s="187" t="s">
        <v>723</v>
      </c>
      <c r="E26" s="187" t="s">
        <v>9</v>
      </c>
      <c r="F26" s="188"/>
      <c r="G26" s="18"/>
      <c r="H26" s="18">
        <v>7892</v>
      </c>
      <c r="I26" s="189"/>
      <c r="J26" s="189">
        <f>40000-H26</f>
        <v>32108</v>
      </c>
      <c r="K26" s="189">
        <f>+J26-I26</f>
        <v>32108</v>
      </c>
      <c r="L26" s="190" t="s">
        <v>551</v>
      </c>
    </row>
    <row r="27" spans="1:12" s="180" customFormat="1" ht="8.65" customHeight="1" x14ac:dyDescent="0.15">
      <c r="A27" s="187" t="s">
        <v>664</v>
      </c>
      <c r="B27" s="187" t="s">
        <v>724</v>
      </c>
      <c r="C27" s="187" t="s">
        <v>707</v>
      </c>
      <c r="D27" s="187" t="s">
        <v>725</v>
      </c>
      <c r="E27" s="187" t="s">
        <v>9</v>
      </c>
      <c r="F27" s="188"/>
      <c r="G27" s="18"/>
      <c r="H27" s="18">
        <v>125000</v>
      </c>
      <c r="I27" s="189"/>
      <c r="J27" s="189"/>
      <c r="K27" s="189">
        <f>+J27-I27</f>
        <v>0</v>
      </c>
      <c r="L27" s="190" t="s">
        <v>551</v>
      </c>
    </row>
    <row r="28" spans="1:12" s="180" customFormat="1" ht="10.15" customHeight="1" x14ac:dyDescent="0.15">
      <c r="A28" s="270" t="s">
        <v>45</v>
      </c>
      <c r="B28" s="270"/>
      <c r="C28" s="270"/>
      <c r="D28" s="270"/>
      <c r="E28" s="270"/>
      <c r="F28" s="270"/>
      <c r="G28" s="191"/>
      <c r="H28" s="191"/>
      <c r="I28" s="192">
        <f>SUM(I2:I27)</f>
        <v>266274.90000000002</v>
      </c>
      <c r="J28" s="192">
        <f>SUM(J2:J27)</f>
        <v>401621</v>
      </c>
      <c r="K28" s="192">
        <f>SUM(K2:K27)</f>
        <v>135346.09999999998</v>
      </c>
      <c r="L28" s="193"/>
    </row>
    <row r="29" spans="1:12" s="180" customFormat="1" ht="4.9000000000000004" customHeight="1" x14ac:dyDescent="0.15">
      <c r="A29" s="194"/>
      <c r="B29" s="194"/>
      <c r="C29" s="194"/>
      <c r="D29" s="194"/>
      <c r="E29" s="194"/>
      <c r="F29" s="194"/>
      <c r="G29" s="194"/>
      <c r="H29" s="195"/>
      <c r="I29" s="196"/>
      <c r="J29" s="196"/>
      <c r="K29" s="196"/>
      <c r="L29" s="194"/>
    </row>
    <row r="30" spans="1:12" s="180" customFormat="1" ht="8.65" customHeight="1" x14ac:dyDescent="0.15">
      <c r="A30" s="187" t="s">
        <v>726</v>
      </c>
      <c r="B30" s="187" t="s">
        <v>665</v>
      </c>
      <c r="C30" s="187" t="s">
        <v>666</v>
      </c>
      <c r="D30" s="187" t="s">
        <v>667</v>
      </c>
      <c r="E30" s="187" t="s">
        <v>50</v>
      </c>
      <c r="F30" s="187" t="s">
        <v>727</v>
      </c>
      <c r="G30" s="18"/>
      <c r="H30" s="18">
        <v>75000</v>
      </c>
      <c r="I30" s="189"/>
      <c r="J30" s="189">
        <f>75000-H30</f>
        <v>0</v>
      </c>
      <c r="K30" s="189">
        <f>+J30</f>
        <v>0</v>
      </c>
      <c r="L30" s="190" t="s">
        <v>551</v>
      </c>
    </row>
    <row r="31" spans="1:12" s="180" customFormat="1" ht="8.65" customHeight="1" x14ac:dyDescent="0.15">
      <c r="A31" s="187" t="s">
        <v>726</v>
      </c>
      <c r="B31" s="187" t="s">
        <v>728</v>
      </c>
      <c r="C31" s="187" t="s">
        <v>666</v>
      </c>
      <c r="D31" s="187" t="s">
        <v>729</v>
      </c>
      <c r="E31" s="187" t="s">
        <v>50</v>
      </c>
      <c r="F31" s="188"/>
      <c r="G31" s="18"/>
      <c r="H31" s="18">
        <v>330000</v>
      </c>
      <c r="I31" s="189"/>
      <c r="J31" s="189">
        <f>330000-H31</f>
        <v>0</v>
      </c>
      <c r="K31" s="189">
        <f ca="1">+J31-K31</f>
        <v>0</v>
      </c>
      <c r="L31" s="190" t="s">
        <v>551</v>
      </c>
    </row>
    <row r="32" spans="1:12" s="180" customFormat="1" ht="8.65" customHeight="1" x14ac:dyDescent="0.15">
      <c r="A32" s="187" t="s">
        <v>726</v>
      </c>
      <c r="B32" s="187" t="s">
        <v>730</v>
      </c>
      <c r="C32" s="187" t="s">
        <v>666</v>
      </c>
      <c r="D32" s="187" t="s">
        <v>731</v>
      </c>
      <c r="E32" s="187" t="s">
        <v>50</v>
      </c>
      <c r="F32" s="188"/>
      <c r="G32" s="18"/>
      <c r="H32" s="18"/>
      <c r="I32" s="189"/>
      <c r="J32" s="189">
        <v>90000</v>
      </c>
      <c r="K32" s="189">
        <f>+J32-I32</f>
        <v>90000</v>
      </c>
      <c r="L32" s="190" t="s">
        <v>551</v>
      </c>
    </row>
    <row r="33" spans="1:12" s="180" customFormat="1" ht="8.65" customHeight="1" x14ac:dyDescent="0.15">
      <c r="A33" s="187" t="s">
        <v>726</v>
      </c>
      <c r="B33" s="187" t="s">
        <v>732</v>
      </c>
      <c r="C33" s="187" t="s">
        <v>666</v>
      </c>
      <c r="D33" s="187" t="s">
        <v>733</v>
      </c>
      <c r="E33" s="187" t="s">
        <v>50</v>
      </c>
      <c r="F33" s="188"/>
      <c r="G33" s="18"/>
      <c r="H33" s="18">
        <v>400000</v>
      </c>
      <c r="I33" s="189"/>
      <c r="J33" s="189">
        <f>400000-H33</f>
        <v>0</v>
      </c>
      <c r="K33" s="189">
        <f>+J33</f>
        <v>0</v>
      </c>
      <c r="L33" s="190" t="s">
        <v>551</v>
      </c>
    </row>
    <row r="34" spans="1:12" s="180" customFormat="1" ht="8.65" customHeight="1" x14ac:dyDescent="0.15">
      <c r="A34" s="187" t="s">
        <v>726</v>
      </c>
      <c r="B34" s="187" t="s">
        <v>685</v>
      </c>
      <c r="C34" s="187" t="s">
        <v>683</v>
      </c>
      <c r="D34" s="187" t="s">
        <v>686</v>
      </c>
      <c r="E34" s="187" t="s">
        <v>50</v>
      </c>
      <c r="F34" s="188"/>
      <c r="G34" s="18"/>
      <c r="H34" s="18">
        <v>5000</v>
      </c>
      <c r="I34" s="189"/>
      <c r="J34" s="189">
        <f>5000-H34</f>
        <v>0</v>
      </c>
      <c r="K34" s="189">
        <f>+J34</f>
        <v>0</v>
      </c>
      <c r="L34" s="190" t="s">
        <v>551</v>
      </c>
    </row>
    <row r="35" spans="1:12" s="180" customFormat="1" ht="8.65" customHeight="1" x14ac:dyDescent="0.15">
      <c r="A35" s="187" t="s">
        <v>726</v>
      </c>
      <c r="B35" s="187" t="s">
        <v>734</v>
      </c>
      <c r="C35" s="187" t="s">
        <v>683</v>
      </c>
      <c r="D35" s="187" t="s">
        <v>735</v>
      </c>
      <c r="E35" s="187" t="s">
        <v>50</v>
      </c>
      <c r="F35" s="188"/>
      <c r="G35" s="18"/>
      <c r="H35" s="18">
        <v>12500</v>
      </c>
      <c r="I35" s="189"/>
      <c r="J35" s="189">
        <f>12500-H35</f>
        <v>0</v>
      </c>
      <c r="K35" s="189">
        <f>+J35</f>
        <v>0</v>
      </c>
      <c r="L35" s="190" t="s">
        <v>551</v>
      </c>
    </row>
    <row r="36" spans="1:12" s="180" customFormat="1" ht="8.65" customHeight="1" x14ac:dyDescent="0.15">
      <c r="A36" s="187" t="s">
        <v>726</v>
      </c>
      <c r="B36" s="187" t="s">
        <v>736</v>
      </c>
      <c r="C36" s="187" t="s">
        <v>683</v>
      </c>
      <c r="D36" s="187" t="s">
        <v>737</v>
      </c>
      <c r="E36" s="187" t="s">
        <v>50</v>
      </c>
      <c r="F36" s="188"/>
      <c r="G36" s="18"/>
      <c r="H36" s="18">
        <v>12000</v>
      </c>
      <c r="I36" s="189"/>
      <c r="J36" s="189">
        <f>12000-H36</f>
        <v>0</v>
      </c>
      <c r="K36" s="189">
        <f>+J36</f>
        <v>0</v>
      </c>
      <c r="L36" s="190" t="s">
        <v>551</v>
      </c>
    </row>
    <row r="37" spans="1:12" s="180" customFormat="1" ht="8.65" customHeight="1" x14ac:dyDescent="0.15">
      <c r="A37" s="187" t="s">
        <v>726</v>
      </c>
      <c r="B37" s="187" t="s">
        <v>738</v>
      </c>
      <c r="C37" s="187" t="s">
        <v>683</v>
      </c>
      <c r="D37" s="187" t="s">
        <v>739</v>
      </c>
      <c r="E37" s="187" t="s">
        <v>50</v>
      </c>
      <c r="F37" s="188"/>
      <c r="G37" s="18"/>
      <c r="H37" s="18">
        <v>12000</v>
      </c>
      <c r="I37" s="189"/>
      <c r="J37" s="189">
        <f>12000-H37</f>
        <v>0</v>
      </c>
      <c r="K37" s="189">
        <f>+J37</f>
        <v>0</v>
      </c>
      <c r="L37" s="190" t="s">
        <v>551</v>
      </c>
    </row>
    <row r="38" spans="1:12" s="180" customFormat="1" ht="8.65" customHeight="1" x14ac:dyDescent="0.15">
      <c r="A38" s="187" t="s">
        <v>726</v>
      </c>
      <c r="B38" s="187" t="s">
        <v>740</v>
      </c>
      <c r="C38" s="187" t="s">
        <v>683</v>
      </c>
      <c r="D38" s="187" t="s">
        <v>741</v>
      </c>
      <c r="E38" s="187" t="s">
        <v>50</v>
      </c>
      <c r="F38" s="188"/>
      <c r="G38" s="18"/>
      <c r="H38" s="18">
        <v>3750</v>
      </c>
      <c r="I38" s="189"/>
      <c r="J38" s="189">
        <f>3750-H38</f>
        <v>0</v>
      </c>
      <c r="K38" s="189">
        <f t="shared" ref="K38:K45" si="0">+J38</f>
        <v>0</v>
      </c>
      <c r="L38" s="190" t="s">
        <v>551</v>
      </c>
    </row>
    <row r="39" spans="1:12" s="180" customFormat="1" ht="8.65" customHeight="1" x14ac:dyDescent="0.15">
      <c r="A39" s="187" t="s">
        <v>726</v>
      </c>
      <c r="B39" s="187" t="s">
        <v>742</v>
      </c>
      <c r="C39" s="187" t="s">
        <v>683</v>
      </c>
      <c r="D39" s="187" t="s">
        <v>743</v>
      </c>
      <c r="E39" s="187" t="s">
        <v>50</v>
      </c>
      <c r="F39" s="188"/>
      <c r="G39" s="18"/>
      <c r="H39" s="18">
        <v>12000</v>
      </c>
      <c r="I39" s="189"/>
      <c r="J39" s="189">
        <f>12000-H39</f>
        <v>0</v>
      </c>
      <c r="K39" s="189">
        <f t="shared" si="0"/>
        <v>0</v>
      </c>
      <c r="L39" s="190" t="s">
        <v>551</v>
      </c>
    </row>
    <row r="40" spans="1:12" s="180" customFormat="1" ht="9.6" customHeight="1" x14ac:dyDescent="0.15">
      <c r="A40" s="187" t="s">
        <v>726</v>
      </c>
      <c r="B40" s="187" t="s">
        <v>744</v>
      </c>
      <c r="C40" s="187" t="s">
        <v>683</v>
      </c>
      <c r="D40" s="187" t="s">
        <v>745</v>
      </c>
      <c r="E40" s="187" t="s">
        <v>50</v>
      </c>
      <c r="F40" s="188"/>
      <c r="G40" s="18"/>
      <c r="H40" s="18">
        <v>12000</v>
      </c>
      <c r="I40" s="189"/>
      <c r="J40" s="189">
        <f>12000-H40</f>
        <v>0</v>
      </c>
      <c r="K40" s="189">
        <f t="shared" si="0"/>
        <v>0</v>
      </c>
      <c r="L40" s="190" t="s">
        <v>551</v>
      </c>
    </row>
    <row r="41" spans="1:12" s="180" customFormat="1" ht="8.65" customHeight="1" x14ac:dyDescent="0.15">
      <c r="A41" s="187" t="s">
        <v>726</v>
      </c>
      <c r="B41" s="187" t="s">
        <v>746</v>
      </c>
      <c r="C41" s="187" t="s">
        <v>683</v>
      </c>
      <c r="D41" s="187" t="s">
        <v>747</v>
      </c>
      <c r="E41" s="187" t="s">
        <v>50</v>
      </c>
      <c r="F41" s="188"/>
      <c r="G41" s="18"/>
      <c r="H41" s="18">
        <v>36000</v>
      </c>
      <c r="I41" s="189"/>
      <c r="J41" s="189">
        <f>36000-H41</f>
        <v>0</v>
      </c>
      <c r="K41" s="189">
        <f t="shared" si="0"/>
        <v>0</v>
      </c>
      <c r="L41" s="190" t="s">
        <v>551</v>
      </c>
    </row>
    <row r="42" spans="1:12" s="180" customFormat="1" ht="8.65" customHeight="1" x14ac:dyDescent="0.15">
      <c r="A42" s="187" t="s">
        <v>726</v>
      </c>
      <c r="B42" s="187" t="s">
        <v>748</v>
      </c>
      <c r="C42" s="187" t="s">
        <v>683</v>
      </c>
      <c r="D42" s="187" t="s">
        <v>749</v>
      </c>
      <c r="E42" s="187" t="s">
        <v>50</v>
      </c>
      <c r="F42" s="188"/>
      <c r="G42" s="18"/>
      <c r="H42" s="18">
        <v>5000</v>
      </c>
      <c r="I42" s="189"/>
      <c r="J42" s="189">
        <f>5000-H42</f>
        <v>0</v>
      </c>
      <c r="K42" s="189">
        <f t="shared" si="0"/>
        <v>0</v>
      </c>
      <c r="L42" s="190" t="s">
        <v>551</v>
      </c>
    </row>
    <row r="43" spans="1:12" s="180" customFormat="1" ht="8.65" customHeight="1" x14ac:dyDescent="0.15">
      <c r="A43" s="187" t="s">
        <v>726</v>
      </c>
      <c r="B43" s="187" t="s">
        <v>750</v>
      </c>
      <c r="C43" s="187" t="s">
        <v>666</v>
      </c>
      <c r="D43" s="187" t="s">
        <v>751</v>
      </c>
      <c r="E43" s="187" t="s">
        <v>50</v>
      </c>
      <c r="F43" s="188"/>
      <c r="G43" s="18"/>
      <c r="H43" s="189">
        <v>50000</v>
      </c>
      <c r="I43" s="189"/>
      <c r="J43" s="189">
        <f>50000-H43</f>
        <v>0</v>
      </c>
      <c r="K43" s="189">
        <f t="shared" si="0"/>
        <v>0</v>
      </c>
      <c r="L43" s="190" t="s">
        <v>551</v>
      </c>
    </row>
    <row r="44" spans="1:12" s="180" customFormat="1" ht="8.65" customHeight="1" x14ac:dyDescent="0.15">
      <c r="A44" s="187" t="s">
        <v>726</v>
      </c>
      <c r="B44" s="187" t="s">
        <v>752</v>
      </c>
      <c r="C44" s="187" t="s">
        <v>666</v>
      </c>
      <c r="D44" s="187" t="s">
        <v>753</v>
      </c>
      <c r="E44" s="187" t="s">
        <v>50</v>
      </c>
      <c r="F44" s="188"/>
      <c r="G44" s="18"/>
      <c r="H44" s="189">
        <v>50000</v>
      </c>
      <c r="I44" s="189"/>
      <c r="J44" s="189">
        <f>50000-H44</f>
        <v>0</v>
      </c>
      <c r="K44" s="189">
        <f t="shared" si="0"/>
        <v>0</v>
      </c>
      <c r="L44" s="190" t="s">
        <v>551</v>
      </c>
    </row>
    <row r="45" spans="1:12" s="180" customFormat="1" ht="8.65" customHeight="1" x14ac:dyDescent="0.15">
      <c r="A45" s="187" t="s">
        <v>726</v>
      </c>
      <c r="B45" s="187" t="s">
        <v>754</v>
      </c>
      <c r="C45" s="187" t="s">
        <v>666</v>
      </c>
      <c r="D45" s="187" t="s">
        <v>755</v>
      </c>
      <c r="E45" s="187" t="s">
        <v>50</v>
      </c>
      <c r="F45" s="188"/>
      <c r="G45" s="18"/>
      <c r="H45" s="189">
        <v>50000</v>
      </c>
      <c r="I45" s="189"/>
      <c r="J45" s="189">
        <f>50000-H45</f>
        <v>0</v>
      </c>
      <c r="K45" s="189">
        <f t="shared" si="0"/>
        <v>0</v>
      </c>
      <c r="L45" s="190" t="s">
        <v>551</v>
      </c>
    </row>
    <row r="46" spans="1:12" s="180" customFormat="1" ht="8.65" customHeight="1" x14ac:dyDescent="0.15">
      <c r="A46" s="187" t="s">
        <v>726</v>
      </c>
      <c r="B46" s="187" t="s">
        <v>756</v>
      </c>
      <c r="C46" s="187" t="s">
        <v>714</v>
      </c>
      <c r="D46" s="187" t="s">
        <v>757</v>
      </c>
      <c r="E46" s="187" t="s">
        <v>50</v>
      </c>
      <c r="F46" s="188"/>
      <c r="G46" s="18"/>
      <c r="H46" s="18"/>
      <c r="I46" s="189"/>
      <c r="J46" s="189">
        <v>110000</v>
      </c>
      <c r="K46" s="189">
        <f>+J46-I46</f>
        <v>110000</v>
      </c>
      <c r="L46" s="190" t="s">
        <v>551</v>
      </c>
    </row>
    <row r="47" spans="1:12" s="180" customFormat="1" ht="8.65" customHeight="1" x14ac:dyDescent="0.15">
      <c r="A47" s="187" t="s">
        <v>726</v>
      </c>
      <c r="B47" s="187" t="s">
        <v>758</v>
      </c>
      <c r="C47" s="187" t="s">
        <v>714</v>
      </c>
      <c r="D47" s="187" t="s">
        <v>759</v>
      </c>
      <c r="E47" s="187" t="s">
        <v>50</v>
      </c>
      <c r="F47" s="188"/>
      <c r="G47" s="18"/>
      <c r="H47" s="18"/>
      <c r="I47" s="189"/>
      <c r="J47" s="189">
        <v>270000</v>
      </c>
      <c r="K47" s="189">
        <f>+J47-I47</f>
        <v>270000</v>
      </c>
      <c r="L47" s="190" t="s">
        <v>551</v>
      </c>
    </row>
    <row r="48" spans="1:12" s="180" customFormat="1" ht="10.15" customHeight="1" x14ac:dyDescent="0.15">
      <c r="A48" s="270" t="s">
        <v>55</v>
      </c>
      <c r="B48" s="270"/>
      <c r="C48" s="270"/>
      <c r="D48" s="270"/>
      <c r="E48" s="270"/>
      <c r="F48" s="270"/>
      <c r="G48" s="191"/>
      <c r="H48" s="191"/>
      <c r="I48" s="192"/>
      <c r="J48" s="192">
        <f>SUM(J30:J47)</f>
        <v>470000</v>
      </c>
      <c r="K48" s="192">
        <f>+K32+K46+K47</f>
        <v>470000</v>
      </c>
      <c r="L48" s="193"/>
    </row>
    <row r="49" spans="1:13" s="180" customFormat="1" ht="4.9000000000000004" customHeight="1" x14ac:dyDescent="0.2">
      <c r="A49" s="197"/>
      <c r="B49" s="197"/>
      <c r="C49" s="197"/>
      <c r="D49" s="197"/>
      <c r="E49" s="197"/>
      <c r="F49" s="197"/>
      <c r="G49" s="197"/>
      <c r="H49" s="198"/>
      <c r="I49" s="199"/>
      <c r="J49" s="200"/>
      <c r="K49" s="199"/>
      <c r="L49" s="197"/>
      <c r="M49" s="197"/>
    </row>
    <row r="50" spans="1:13" s="180" customFormat="1" ht="8.65" customHeight="1" x14ac:dyDescent="0.15">
      <c r="A50" s="187" t="s">
        <v>664</v>
      </c>
      <c r="B50" s="187" t="s">
        <v>760</v>
      </c>
      <c r="C50" s="187" t="s">
        <v>666</v>
      </c>
      <c r="D50" s="187" t="s">
        <v>761</v>
      </c>
      <c r="E50" s="187" t="s">
        <v>59</v>
      </c>
      <c r="F50" s="187" t="s">
        <v>60</v>
      </c>
      <c r="G50" s="18"/>
      <c r="H50" s="18">
        <v>55000</v>
      </c>
      <c r="I50" s="189"/>
      <c r="J50" s="189">
        <f>55000-H50</f>
        <v>0</v>
      </c>
      <c r="K50" s="189">
        <f ca="1">+J50-K50</f>
        <v>0</v>
      </c>
      <c r="L50" s="190" t="s">
        <v>551</v>
      </c>
    </row>
    <row r="51" spans="1:13" s="180" customFormat="1" ht="8.65" customHeight="1" x14ac:dyDescent="0.15">
      <c r="A51" s="187" t="s">
        <v>664</v>
      </c>
      <c r="B51" s="187" t="s">
        <v>665</v>
      </c>
      <c r="C51" s="187" t="s">
        <v>666</v>
      </c>
      <c r="D51" s="187" t="s">
        <v>667</v>
      </c>
      <c r="E51" s="187" t="s">
        <v>59</v>
      </c>
      <c r="F51" s="188"/>
      <c r="G51" s="18"/>
      <c r="H51" s="18">
        <v>262000</v>
      </c>
      <c r="I51" s="189"/>
      <c r="J51" s="189">
        <f>262000-H51</f>
        <v>0</v>
      </c>
      <c r="K51" s="189">
        <f t="shared" ref="K51:K68" ca="1" si="1">+J51-K51</f>
        <v>0</v>
      </c>
      <c r="L51" s="190" t="s">
        <v>551</v>
      </c>
    </row>
    <row r="52" spans="1:13" s="180" customFormat="1" ht="8.65" customHeight="1" x14ac:dyDescent="0.15">
      <c r="A52" s="187" t="s">
        <v>664</v>
      </c>
      <c r="B52" s="187" t="s">
        <v>762</v>
      </c>
      <c r="C52" s="187" t="s">
        <v>666</v>
      </c>
      <c r="D52" s="187" t="s">
        <v>763</v>
      </c>
      <c r="E52" s="187" t="s">
        <v>59</v>
      </c>
      <c r="F52" s="188"/>
      <c r="G52" s="18"/>
      <c r="H52" s="18">
        <v>14000</v>
      </c>
      <c r="I52" s="189"/>
      <c r="J52" s="189">
        <f>14000-H52</f>
        <v>0</v>
      </c>
      <c r="K52" s="189">
        <f t="shared" ca="1" si="1"/>
        <v>0</v>
      </c>
      <c r="L52" s="190" t="s">
        <v>551</v>
      </c>
    </row>
    <row r="53" spans="1:13" s="180" customFormat="1" ht="8.65" customHeight="1" x14ac:dyDescent="0.15">
      <c r="A53" s="187" t="s">
        <v>664</v>
      </c>
      <c r="B53" s="187" t="s">
        <v>764</v>
      </c>
      <c r="C53" s="187" t="s">
        <v>666</v>
      </c>
      <c r="D53" s="187" t="s">
        <v>765</v>
      </c>
      <c r="E53" s="187" t="s">
        <v>59</v>
      </c>
      <c r="F53" s="188"/>
      <c r="G53" s="18"/>
      <c r="H53" s="189">
        <v>45500</v>
      </c>
      <c r="I53" s="189"/>
      <c r="J53" s="189">
        <f>45500-H53</f>
        <v>0</v>
      </c>
      <c r="K53" s="189">
        <f t="shared" ca="1" si="1"/>
        <v>0</v>
      </c>
      <c r="L53" s="190" t="s">
        <v>551</v>
      </c>
    </row>
    <row r="54" spans="1:13" s="180" customFormat="1" ht="8.65" customHeight="1" x14ac:dyDescent="0.15">
      <c r="A54" s="187" t="s">
        <v>664</v>
      </c>
      <c r="B54" s="187" t="s">
        <v>766</v>
      </c>
      <c r="C54" s="187" t="s">
        <v>666</v>
      </c>
      <c r="D54" s="187" t="s">
        <v>767</v>
      </c>
      <c r="E54" s="187" t="s">
        <v>59</v>
      </c>
      <c r="F54" s="188"/>
      <c r="G54" s="18"/>
      <c r="H54" s="189">
        <v>45000</v>
      </c>
      <c r="I54" s="189"/>
      <c r="J54" s="189">
        <f>45000-H54</f>
        <v>0</v>
      </c>
      <c r="K54" s="189">
        <f t="shared" ca="1" si="1"/>
        <v>0</v>
      </c>
      <c r="L54" s="190" t="s">
        <v>551</v>
      </c>
    </row>
    <row r="55" spans="1:13" s="180" customFormat="1" ht="8.65" customHeight="1" x14ac:dyDescent="0.15">
      <c r="A55" s="187" t="s">
        <v>664</v>
      </c>
      <c r="B55" s="187" t="s">
        <v>768</v>
      </c>
      <c r="C55" s="187" t="s">
        <v>769</v>
      </c>
      <c r="D55" s="187" t="s">
        <v>770</v>
      </c>
      <c r="E55" s="187" t="s">
        <v>59</v>
      </c>
      <c r="F55" s="188"/>
      <c r="G55" s="18"/>
      <c r="H55" s="18">
        <v>500000</v>
      </c>
      <c r="I55" s="189"/>
      <c r="J55" s="189">
        <f>500000-H55</f>
        <v>0</v>
      </c>
      <c r="K55" s="189">
        <f t="shared" ca="1" si="1"/>
        <v>0</v>
      </c>
      <c r="L55" s="190" t="s">
        <v>551</v>
      </c>
    </row>
    <row r="56" spans="1:13" s="180" customFormat="1" ht="8.65" customHeight="1" x14ac:dyDescent="0.15">
      <c r="A56" s="187" t="s">
        <v>664</v>
      </c>
      <c r="B56" s="187" t="s">
        <v>680</v>
      </c>
      <c r="C56" s="187" t="s">
        <v>676</v>
      </c>
      <c r="D56" s="187" t="s">
        <v>681</v>
      </c>
      <c r="E56" s="187" t="s">
        <v>59</v>
      </c>
      <c r="F56" s="188"/>
      <c r="G56" s="18"/>
      <c r="H56" s="18">
        <v>31899</v>
      </c>
      <c r="I56" s="189"/>
      <c r="J56" s="189">
        <f>32000-H56</f>
        <v>101</v>
      </c>
      <c r="K56" s="189">
        <f>+J56-I56</f>
        <v>101</v>
      </c>
      <c r="L56" s="190" t="s">
        <v>551</v>
      </c>
    </row>
    <row r="57" spans="1:13" s="180" customFormat="1" ht="8.65" customHeight="1" x14ac:dyDescent="0.15">
      <c r="A57" s="187" t="s">
        <v>664</v>
      </c>
      <c r="B57" s="187" t="s">
        <v>771</v>
      </c>
      <c r="C57" s="187" t="s">
        <v>683</v>
      </c>
      <c r="D57" s="187" t="s">
        <v>772</v>
      </c>
      <c r="E57" s="187" t="s">
        <v>59</v>
      </c>
      <c r="F57" s="188"/>
      <c r="G57" s="18"/>
      <c r="H57" s="18">
        <v>4000</v>
      </c>
      <c r="I57" s="189"/>
      <c r="J57" s="189">
        <f>4000-H57</f>
        <v>0</v>
      </c>
      <c r="K57" s="189">
        <f t="shared" ca="1" si="1"/>
        <v>0</v>
      </c>
      <c r="L57" s="190" t="s">
        <v>551</v>
      </c>
    </row>
    <row r="58" spans="1:13" s="180" customFormat="1" ht="8.65" customHeight="1" x14ac:dyDescent="0.15">
      <c r="A58" s="187" t="s">
        <v>664</v>
      </c>
      <c r="B58" s="187" t="s">
        <v>682</v>
      </c>
      <c r="C58" s="187" t="s">
        <v>683</v>
      </c>
      <c r="D58" s="187" t="s">
        <v>684</v>
      </c>
      <c r="E58" s="187" t="s">
        <v>59</v>
      </c>
      <c r="F58" s="188"/>
      <c r="G58" s="18"/>
      <c r="H58" s="18">
        <v>40000</v>
      </c>
      <c r="I58" s="189"/>
      <c r="J58" s="189">
        <f>40000-H58</f>
        <v>0</v>
      </c>
      <c r="K58" s="189">
        <f t="shared" ca="1" si="1"/>
        <v>0</v>
      </c>
      <c r="L58" s="190" t="s">
        <v>551</v>
      </c>
    </row>
    <row r="59" spans="1:13" s="180" customFormat="1" ht="8.65" customHeight="1" x14ac:dyDescent="0.15">
      <c r="A59" s="187" t="s">
        <v>664</v>
      </c>
      <c r="B59" s="187" t="s">
        <v>773</v>
      </c>
      <c r="C59" s="187" t="s">
        <v>683</v>
      </c>
      <c r="D59" s="187" t="s">
        <v>774</v>
      </c>
      <c r="E59" s="187" t="s">
        <v>59</v>
      </c>
      <c r="F59" s="188"/>
      <c r="G59" s="18"/>
      <c r="H59" s="18">
        <v>4000</v>
      </c>
      <c r="I59" s="189"/>
      <c r="J59" s="189">
        <f>4000-H59</f>
        <v>0</v>
      </c>
      <c r="K59" s="189">
        <f t="shared" ca="1" si="1"/>
        <v>0</v>
      </c>
      <c r="L59" s="190" t="s">
        <v>551</v>
      </c>
    </row>
    <row r="60" spans="1:13" s="180" customFormat="1" ht="8.65" customHeight="1" x14ac:dyDescent="0.15">
      <c r="A60" s="187" t="s">
        <v>664</v>
      </c>
      <c r="B60" s="187" t="s">
        <v>685</v>
      </c>
      <c r="C60" s="187" t="s">
        <v>683</v>
      </c>
      <c r="D60" s="187" t="s">
        <v>686</v>
      </c>
      <c r="E60" s="187" t="s">
        <v>59</v>
      </c>
      <c r="F60" s="188"/>
      <c r="G60" s="18"/>
      <c r="H60" s="18">
        <v>7500</v>
      </c>
      <c r="I60" s="189"/>
      <c r="J60" s="189">
        <f>7500-H60</f>
        <v>0</v>
      </c>
      <c r="K60" s="189">
        <f t="shared" ca="1" si="1"/>
        <v>0</v>
      </c>
      <c r="L60" s="190" t="s">
        <v>551</v>
      </c>
    </row>
    <row r="61" spans="1:13" s="180" customFormat="1" ht="8.65" customHeight="1" x14ac:dyDescent="0.15">
      <c r="A61" s="187" t="s">
        <v>664</v>
      </c>
      <c r="B61" s="187" t="s">
        <v>775</v>
      </c>
      <c r="C61" s="187" t="s">
        <v>683</v>
      </c>
      <c r="D61" s="187" t="s">
        <v>776</v>
      </c>
      <c r="E61" s="187" t="s">
        <v>59</v>
      </c>
      <c r="F61" s="188"/>
      <c r="G61" s="18"/>
      <c r="H61" s="18">
        <v>3600</v>
      </c>
      <c r="I61" s="189"/>
      <c r="J61" s="189">
        <f>3600-H61</f>
        <v>0</v>
      </c>
      <c r="K61" s="189">
        <f t="shared" ca="1" si="1"/>
        <v>0</v>
      </c>
      <c r="L61" s="190" t="s">
        <v>551</v>
      </c>
    </row>
    <row r="62" spans="1:13" s="180" customFormat="1" ht="8.65" customHeight="1" x14ac:dyDescent="0.15">
      <c r="A62" s="187" t="s">
        <v>664</v>
      </c>
      <c r="B62" s="187" t="s">
        <v>687</v>
      </c>
      <c r="C62" s="187" t="s">
        <v>683</v>
      </c>
      <c r="D62" s="187" t="s">
        <v>688</v>
      </c>
      <c r="E62" s="187" t="s">
        <v>59</v>
      </c>
      <c r="F62" s="188"/>
      <c r="G62" s="18"/>
      <c r="H62" s="18">
        <v>50000</v>
      </c>
      <c r="I62" s="189"/>
      <c r="J62" s="189">
        <f>50000-H62</f>
        <v>0</v>
      </c>
      <c r="K62" s="189">
        <f t="shared" ca="1" si="1"/>
        <v>0</v>
      </c>
      <c r="L62" s="190" t="s">
        <v>551</v>
      </c>
    </row>
    <row r="63" spans="1:13" s="180" customFormat="1" ht="8.65" customHeight="1" x14ac:dyDescent="0.15">
      <c r="A63" s="187" t="s">
        <v>664</v>
      </c>
      <c r="B63" s="187" t="s">
        <v>777</v>
      </c>
      <c r="C63" s="187" t="s">
        <v>683</v>
      </c>
      <c r="D63" s="187" t="s">
        <v>778</v>
      </c>
      <c r="E63" s="187" t="s">
        <v>59</v>
      </c>
      <c r="F63" s="188"/>
      <c r="G63" s="18"/>
      <c r="H63" s="18">
        <v>5160</v>
      </c>
      <c r="I63" s="189"/>
      <c r="J63" s="189">
        <f>5160-H63</f>
        <v>0</v>
      </c>
      <c r="K63" s="189">
        <f t="shared" ca="1" si="1"/>
        <v>0</v>
      </c>
      <c r="L63" s="190" t="s">
        <v>551</v>
      </c>
    </row>
    <row r="64" spans="1:13" s="180" customFormat="1" ht="8.65" customHeight="1" x14ac:dyDescent="0.15">
      <c r="A64" s="187" t="s">
        <v>664</v>
      </c>
      <c r="B64" s="187" t="s">
        <v>738</v>
      </c>
      <c r="C64" s="187" t="s">
        <v>683</v>
      </c>
      <c r="D64" s="187" t="s">
        <v>739</v>
      </c>
      <c r="E64" s="187" t="s">
        <v>59</v>
      </c>
      <c r="F64" s="188"/>
      <c r="G64" s="18"/>
      <c r="H64" s="18">
        <v>10000</v>
      </c>
      <c r="I64" s="189"/>
      <c r="J64" s="189">
        <f>10000-H64</f>
        <v>0</v>
      </c>
      <c r="K64" s="189">
        <f t="shared" ca="1" si="1"/>
        <v>0</v>
      </c>
      <c r="L64" s="190" t="s">
        <v>551</v>
      </c>
    </row>
    <row r="65" spans="1:12" s="180" customFormat="1" ht="8.65" customHeight="1" x14ac:dyDescent="0.15">
      <c r="A65" s="187" t="s">
        <v>664</v>
      </c>
      <c r="B65" s="187" t="s">
        <v>779</v>
      </c>
      <c r="C65" s="187" t="s">
        <v>683</v>
      </c>
      <c r="D65" s="187" t="s">
        <v>780</v>
      </c>
      <c r="E65" s="187" t="s">
        <v>59</v>
      </c>
      <c r="F65" s="188"/>
      <c r="G65" s="18"/>
      <c r="H65" s="18">
        <v>3300</v>
      </c>
      <c r="I65" s="189"/>
      <c r="J65" s="189">
        <f>3300-H65</f>
        <v>0</v>
      </c>
      <c r="K65" s="189">
        <f t="shared" ca="1" si="1"/>
        <v>0</v>
      </c>
      <c r="L65" s="190" t="s">
        <v>551</v>
      </c>
    </row>
    <row r="66" spans="1:12" s="180" customFormat="1" ht="8.65" customHeight="1" x14ac:dyDescent="0.15">
      <c r="A66" s="187" t="s">
        <v>664</v>
      </c>
      <c r="B66" s="187" t="s">
        <v>781</v>
      </c>
      <c r="C66" s="187" t="s">
        <v>683</v>
      </c>
      <c r="D66" s="187" t="s">
        <v>782</v>
      </c>
      <c r="E66" s="187" t="s">
        <v>59</v>
      </c>
      <c r="F66" s="188"/>
      <c r="G66" s="18"/>
      <c r="H66" s="18">
        <v>6000</v>
      </c>
      <c r="I66" s="189"/>
      <c r="J66" s="189">
        <f>6000-H66</f>
        <v>0</v>
      </c>
      <c r="K66" s="189">
        <f t="shared" ca="1" si="1"/>
        <v>0</v>
      </c>
      <c r="L66" s="190" t="s">
        <v>551</v>
      </c>
    </row>
    <row r="67" spans="1:12" s="180" customFormat="1" ht="8.65" customHeight="1" x14ac:dyDescent="0.15">
      <c r="A67" s="187" t="s">
        <v>664</v>
      </c>
      <c r="B67" s="187" t="s">
        <v>783</v>
      </c>
      <c r="C67" s="187" t="s">
        <v>683</v>
      </c>
      <c r="D67" s="187" t="s">
        <v>784</v>
      </c>
      <c r="E67" s="187" t="s">
        <v>59</v>
      </c>
      <c r="F67" s="188"/>
      <c r="G67" s="18"/>
      <c r="H67" s="18">
        <v>5500</v>
      </c>
      <c r="I67" s="189"/>
      <c r="J67" s="189">
        <f>5500-H67</f>
        <v>0</v>
      </c>
      <c r="K67" s="189">
        <f t="shared" ca="1" si="1"/>
        <v>0</v>
      </c>
      <c r="L67" s="190" t="s">
        <v>551</v>
      </c>
    </row>
    <row r="68" spans="1:12" s="180" customFormat="1" ht="8.65" customHeight="1" x14ac:dyDescent="0.15">
      <c r="A68" s="187" t="s">
        <v>664</v>
      </c>
      <c r="B68" s="187" t="s">
        <v>785</v>
      </c>
      <c r="C68" s="187" t="s">
        <v>683</v>
      </c>
      <c r="D68" s="187" t="s">
        <v>786</v>
      </c>
      <c r="E68" s="187" t="s">
        <v>59</v>
      </c>
      <c r="F68" s="188"/>
      <c r="G68" s="18"/>
      <c r="H68" s="18">
        <v>57500</v>
      </c>
      <c r="I68" s="189"/>
      <c r="J68" s="189">
        <f>57500-H68</f>
        <v>0</v>
      </c>
      <c r="K68" s="189">
        <f t="shared" ca="1" si="1"/>
        <v>0</v>
      </c>
      <c r="L68" s="190" t="s">
        <v>551</v>
      </c>
    </row>
    <row r="69" spans="1:12" s="180" customFormat="1" ht="8.65" customHeight="1" x14ac:dyDescent="0.15">
      <c r="A69" s="187" t="s">
        <v>664</v>
      </c>
      <c r="B69" s="187" t="s">
        <v>787</v>
      </c>
      <c r="C69" s="187" t="s">
        <v>769</v>
      </c>
      <c r="D69" s="187" t="s">
        <v>788</v>
      </c>
      <c r="E69" s="187" t="s">
        <v>59</v>
      </c>
      <c r="F69" s="188"/>
      <c r="G69" s="18"/>
      <c r="H69" s="18"/>
      <c r="I69" s="189"/>
      <c r="J69" s="189">
        <v>288000</v>
      </c>
      <c r="K69" s="189">
        <f t="shared" ref="K69:K73" si="2">+J69-H69</f>
        <v>288000</v>
      </c>
      <c r="L69" s="190" t="s">
        <v>551</v>
      </c>
    </row>
    <row r="70" spans="1:12" s="180" customFormat="1" ht="8.65" customHeight="1" x14ac:dyDescent="0.15">
      <c r="A70" s="187" t="s">
        <v>664</v>
      </c>
      <c r="B70" s="187" t="s">
        <v>789</v>
      </c>
      <c r="C70" s="187" t="s">
        <v>769</v>
      </c>
      <c r="D70" s="187" t="s">
        <v>790</v>
      </c>
      <c r="E70" s="187" t="s">
        <v>59</v>
      </c>
      <c r="F70" s="188"/>
      <c r="G70" s="18"/>
      <c r="H70" s="18"/>
      <c r="I70" s="189"/>
      <c r="J70" s="189">
        <v>288000</v>
      </c>
      <c r="K70" s="189">
        <f t="shared" si="2"/>
        <v>288000</v>
      </c>
      <c r="L70" s="190" t="s">
        <v>551</v>
      </c>
    </row>
    <row r="71" spans="1:12" s="180" customFormat="1" ht="8.65" customHeight="1" x14ac:dyDescent="0.15">
      <c r="A71" s="187" t="s">
        <v>664</v>
      </c>
      <c r="B71" s="187" t="s">
        <v>791</v>
      </c>
      <c r="C71" s="187" t="s">
        <v>769</v>
      </c>
      <c r="D71" s="187" t="s">
        <v>792</v>
      </c>
      <c r="E71" s="187" t="s">
        <v>59</v>
      </c>
      <c r="F71" s="188"/>
      <c r="G71" s="18"/>
      <c r="H71" s="18"/>
      <c r="I71" s="189"/>
      <c r="J71" s="189">
        <v>200000</v>
      </c>
      <c r="K71" s="189">
        <f t="shared" si="2"/>
        <v>200000</v>
      </c>
      <c r="L71" s="190" t="s">
        <v>551</v>
      </c>
    </row>
    <row r="72" spans="1:12" s="180" customFormat="1" ht="8.65" customHeight="1" x14ac:dyDescent="0.15">
      <c r="A72" s="187" t="s">
        <v>664</v>
      </c>
      <c r="B72" s="187" t="s">
        <v>793</v>
      </c>
      <c r="C72" s="187" t="s">
        <v>769</v>
      </c>
      <c r="D72" s="187" t="s">
        <v>794</v>
      </c>
      <c r="E72" s="187" t="s">
        <v>59</v>
      </c>
      <c r="F72" s="188"/>
      <c r="G72" s="18"/>
      <c r="H72" s="18"/>
      <c r="I72" s="189"/>
      <c r="J72" s="189">
        <v>288000</v>
      </c>
      <c r="K72" s="189">
        <f t="shared" si="2"/>
        <v>288000</v>
      </c>
      <c r="L72" s="190" t="s">
        <v>551</v>
      </c>
    </row>
    <row r="73" spans="1:12" s="180" customFormat="1" ht="8.65" customHeight="1" x14ac:dyDescent="0.15">
      <c r="A73" s="187" t="s">
        <v>664</v>
      </c>
      <c r="B73" s="187" t="s">
        <v>795</v>
      </c>
      <c r="C73" s="187" t="s">
        <v>769</v>
      </c>
      <c r="D73" s="187" t="s">
        <v>796</v>
      </c>
      <c r="E73" s="187" t="s">
        <v>59</v>
      </c>
      <c r="F73" s="188"/>
      <c r="G73" s="18"/>
      <c r="H73" s="18"/>
      <c r="I73" s="189"/>
      <c r="J73" s="189">
        <v>250000</v>
      </c>
      <c r="K73" s="189">
        <f t="shared" si="2"/>
        <v>250000</v>
      </c>
      <c r="L73" s="190" t="s">
        <v>551</v>
      </c>
    </row>
    <row r="74" spans="1:12" s="180" customFormat="1" ht="8.65" customHeight="1" x14ac:dyDescent="0.15">
      <c r="A74" s="187" t="s">
        <v>664</v>
      </c>
      <c r="B74" s="187" t="s">
        <v>797</v>
      </c>
      <c r="C74" s="187" t="s">
        <v>683</v>
      </c>
      <c r="D74" s="187" t="s">
        <v>798</v>
      </c>
      <c r="E74" s="187" t="s">
        <v>59</v>
      </c>
      <c r="F74" s="188"/>
      <c r="G74" s="18"/>
      <c r="H74" s="18">
        <v>15000</v>
      </c>
      <c r="I74" s="189"/>
      <c r="J74" s="189">
        <f>15000-H74</f>
        <v>0</v>
      </c>
      <c r="K74" s="189">
        <f>+J74-I74</f>
        <v>0</v>
      </c>
      <c r="L74" s="190" t="s">
        <v>551</v>
      </c>
    </row>
    <row r="75" spans="1:12" s="180" customFormat="1" ht="8.65" customHeight="1" x14ac:dyDescent="0.15">
      <c r="A75" s="187" t="s">
        <v>664</v>
      </c>
      <c r="B75" s="187" t="s">
        <v>799</v>
      </c>
      <c r="C75" s="187" t="s">
        <v>666</v>
      </c>
      <c r="D75" s="187" t="s">
        <v>800</v>
      </c>
      <c r="E75" s="187" t="s">
        <v>59</v>
      </c>
      <c r="F75" s="188"/>
      <c r="G75" s="18"/>
      <c r="H75" s="18">
        <v>63000</v>
      </c>
      <c r="I75" s="189"/>
      <c r="J75" s="189">
        <f>63000-H75</f>
        <v>0</v>
      </c>
      <c r="K75" s="189">
        <f t="shared" ref="K75:K93" si="3">+J75-I75</f>
        <v>0</v>
      </c>
      <c r="L75" s="190" t="s">
        <v>551</v>
      </c>
    </row>
    <row r="76" spans="1:12" s="180" customFormat="1" ht="8.65" customHeight="1" x14ac:dyDescent="0.15">
      <c r="A76" s="187" t="s">
        <v>664</v>
      </c>
      <c r="B76" s="187" t="s">
        <v>801</v>
      </c>
      <c r="C76" s="187" t="s">
        <v>666</v>
      </c>
      <c r="D76" s="187" t="s">
        <v>802</v>
      </c>
      <c r="E76" s="187" t="s">
        <v>59</v>
      </c>
      <c r="F76" s="188"/>
      <c r="G76" s="18"/>
      <c r="H76" s="18">
        <v>14000</v>
      </c>
      <c r="I76" s="189"/>
      <c r="J76" s="189">
        <f>14000-H76</f>
        <v>0</v>
      </c>
      <c r="K76" s="189">
        <f t="shared" si="3"/>
        <v>0</v>
      </c>
      <c r="L76" s="190" t="s">
        <v>551</v>
      </c>
    </row>
    <row r="77" spans="1:12" s="180" customFormat="1" ht="8.65" customHeight="1" x14ac:dyDescent="0.15">
      <c r="A77" s="187" t="s">
        <v>664</v>
      </c>
      <c r="B77" s="187" t="s">
        <v>803</v>
      </c>
      <c r="C77" s="187" t="s">
        <v>683</v>
      </c>
      <c r="D77" s="187" t="s">
        <v>804</v>
      </c>
      <c r="E77" s="187" t="s">
        <v>59</v>
      </c>
      <c r="F77" s="188"/>
      <c r="G77" s="18"/>
      <c r="H77" s="18">
        <v>23940</v>
      </c>
      <c r="I77" s="189"/>
      <c r="J77" s="189">
        <f>23940-H77</f>
        <v>0</v>
      </c>
      <c r="K77" s="189">
        <f t="shared" si="3"/>
        <v>0</v>
      </c>
      <c r="L77" s="190" t="s">
        <v>551</v>
      </c>
    </row>
    <row r="78" spans="1:12" s="180" customFormat="1" ht="8.65" customHeight="1" x14ac:dyDescent="0.15">
      <c r="A78" s="187" t="s">
        <v>664</v>
      </c>
      <c r="B78" s="187" t="s">
        <v>742</v>
      </c>
      <c r="C78" s="187" t="s">
        <v>683</v>
      </c>
      <c r="D78" s="187" t="s">
        <v>743</v>
      </c>
      <c r="E78" s="187" t="s">
        <v>59</v>
      </c>
      <c r="F78" s="188"/>
      <c r="G78" s="18"/>
      <c r="H78" s="18">
        <v>3600</v>
      </c>
      <c r="I78" s="189"/>
      <c r="J78" s="189">
        <f>3600-H78</f>
        <v>0</v>
      </c>
      <c r="K78" s="189">
        <f t="shared" si="3"/>
        <v>0</v>
      </c>
      <c r="L78" s="190" t="s">
        <v>551</v>
      </c>
    </row>
    <row r="79" spans="1:12" s="180" customFormat="1" ht="8.65" customHeight="1" x14ac:dyDescent="0.15">
      <c r="A79" s="187" t="s">
        <v>664</v>
      </c>
      <c r="B79" s="187" t="s">
        <v>746</v>
      </c>
      <c r="C79" s="187" t="s">
        <v>683</v>
      </c>
      <c r="D79" s="187" t="s">
        <v>747</v>
      </c>
      <c r="E79" s="187" t="s">
        <v>59</v>
      </c>
      <c r="F79" s="188"/>
      <c r="G79" s="18"/>
      <c r="H79" s="18">
        <v>3600</v>
      </c>
      <c r="I79" s="189"/>
      <c r="J79" s="189">
        <f>3600-H79</f>
        <v>0</v>
      </c>
      <c r="K79" s="189">
        <f t="shared" si="3"/>
        <v>0</v>
      </c>
      <c r="L79" s="190" t="s">
        <v>551</v>
      </c>
    </row>
    <row r="80" spans="1:12" s="180" customFormat="1" ht="8.65" customHeight="1" x14ac:dyDescent="0.15">
      <c r="A80" s="187" t="s">
        <v>664</v>
      </c>
      <c r="B80" s="187" t="s">
        <v>805</v>
      </c>
      <c r="C80" s="187" t="s">
        <v>683</v>
      </c>
      <c r="D80" s="187" t="s">
        <v>806</v>
      </c>
      <c r="E80" s="187" t="s">
        <v>59</v>
      </c>
      <c r="F80" s="188"/>
      <c r="G80" s="18"/>
      <c r="H80" s="18">
        <v>6000</v>
      </c>
      <c r="I80" s="189"/>
      <c r="J80" s="189">
        <f>6000-H80</f>
        <v>0</v>
      </c>
      <c r="K80" s="189">
        <f t="shared" si="3"/>
        <v>0</v>
      </c>
      <c r="L80" s="190" t="s">
        <v>551</v>
      </c>
    </row>
    <row r="81" spans="1:13" s="180" customFormat="1" ht="8.65" customHeight="1" x14ac:dyDescent="0.15">
      <c r="A81" s="187" t="s">
        <v>664</v>
      </c>
      <c r="B81" s="187" t="s">
        <v>807</v>
      </c>
      <c r="C81" s="187" t="s">
        <v>683</v>
      </c>
      <c r="D81" s="187" t="s">
        <v>808</v>
      </c>
      <c r="E81" s="187" t="s">
        <v>59</v>
      </c>
      <c r="F81" s="188"/>
      <c r="G81" s="18"/>
      <c r="H81" s="18">
        <v>3600</v>
      </c>
      <c r="I81" s="189"/>
      <c r="J81" s="189">
        <f>3600-H81</f>
        <v>0</v>
      </c>
      <c r="K81" s="189">
        <f t="shared" si="3"/>
        <v>0</v>
      </c>
      <c r="L81" s="190" t="s">
        <v>551</v>
      </c>
    </row>
    <row r="82" spans="1:13" s="180" customFormat="1" ht="8.65" customHeight="1" x14ac:dyDescent="0.15">
      <c r="A82" s="187" t="s">
        <v>664</v>
      </c>
      <c r="B82" s="187" t="s">
        <v>809</v>
      </c>
      <c r="C82" s="187" t="s">
        <v>683</v>
      </c>
      <c r="D82" s="187" t="s">
        <v>810</v>
      </c>
      <c r="E82" s="187" t="s">
        <v>59</v>
      </c>
      <c r="F82" s="188"/>
      <c r="G82" s="18"/>
      <c r="H82" s="18">
        <v>1800</v>
      </c>
      <c r="I82" s="189"/>
      <c r="J82" s="189">
        <f>1800-H82</f>
        <v>0</v>
      </c>
      <c r="K82" s="189">
        <f t="shared" si="3"/>
        <v>0</v>
      </c>
      <c r="L82" s="190" t="s">
        <v>551</v>
      </c>
    </row>
    <row r="83" spans="1:13" s="180" customFormat="1" ht="8.65" customHeight="1" x14ac:dyDescent="0.15">
      <c r="A83" s="187" t="s">
        <v>664</v>
      </c>
      <c r="B83" s="187" t="s">
        <v>811</v>
      </c>
      <c r="C83" s="187" t="s">
        <v>769</v>
      </c>
      <c r="D83" s="187" t="s">
        <v>812</v>
      </c>
      <c r="E83" s="187" t="s">
        <v>59</v>
      </c>
      <c r="F83" s="188"/>
      <c r="G83" s="18"/>
      <c r="H83" s="18">
        <v>4500</v>
      </c>
      <c r="I83" s="189"/>
      <c r="J83" s="189">
        <f>4500-H83</f>
        <v>0</v>
      </c>
      <c r="K83" s="189">
        <f t="shared" si="3"/>
        <v>0</v>
      </c>
      <c r="L83" s="190" t="s">
        <v>551</v>
      </c>
    </row>
    <row r="84" spans="1:13" s="180" customFormat="1" ht="8.65" customHeight="1" x14ac:dyDescent="0.15">
      <c r="A84" s="187" t="s">
        <v>664</v>
      </c>
      <c r="B84" s="187" t="s">
        <v>813</v>
      </c>
      <c r="C84" s="187" t="s">
        <v>666</v>
      </c>
      <c r="D84" s="187" t="s">
        <v>814</v>
      </c>
      <c r="E84" s="187" t="s">
        <v>59</v>
      </c>
      <c r="F84" s="188"/>
      <c r="G84" s="18"/>
      <c r="H84" s="18">
        <v>5600</v>
      </c>
      <c r="I84" s="189"/>
      <c r="J84" s="189">
        <f>5600-H84</f>
        <v>0</v>
      </c>
      <c r="K84" s="189">
        <f t="shared" si="3"/>
        <v>0</v>
      </c>
      <c r="L84" s="190" t="s">
        <v>551</v>
      </c>
    </row>
    <row r="85" spans="1:13" s="180" customFormat="1" ht="8.65" customHeight="1" x14ac:dyDescent="0.15">
      <c r="A85" s="187" t="s">
        <v>664</v>
      </c>
      <c r="B85" s="187" t="s">
        <v>815</v>
      </c>
      <c r="C85" s="187" t="s">
        <v>673</v>
      </c>
      <c r="D85" s="187" t="s">
        <v>816</v>
      </c>
      <c r="E85" s="187" t="s">
        <v>59</v>
      </c>
      <c r="F85" s="188"/>
      <c r="G85" s="18"/>
      <c r="H85" s="18">
        <v>7992</v>
      </c>
      <c r="I85" s="189"/>
      <c r="J85" s="189">
        <f>22500-H85</f>
        <v>14508</v>
      </c>
      <c r="K85" s="189">
        <f t="shared" si="3"/>
        <v>14508</v>
      </c>
      <c r="L85" s="190" t="s">
        <v>551</v>
      </c>
    </row>
    <row r="86" spans="1:13" s="180" customFormat="1" ht="8.65" customHeight="1" x14ac:dyDescent="0.15">
      <c r="A86" s="187" t="s">
        <v>664</v>
      </c>
      <c r="B86" s="187" t="s">
        <v>817</v>
      </c>
      <c r="C86" s="187" t="s">
        <v>683</v>
      </c>
      <c r="D86" s="187" t="s">
        <v>818</v>
      </c>
      <c r="E86" s="187" t="s">
        <v>59</v>
      </c>
      <c r="F86" s="188"/>
      <c r="G86" s="18"/>
      <c r="H86" s="18">
        <v>29000</v>
      </c>
      <c r="I86" s="189"/>
      <c r="J86" s="189">
        <f>29000-H86</f>
        <v>0</v>
      </c>
      <c r="K86" s="189">
        <f t="shared" si="3"/>
        <v>0</v>
      </c>
      <c r="L86" s="190" t="s">
        <v>551</v>
      </c>
    </row>
    <row r="87" spans="1:13" s="180" customFormat="1" ht="8.65" customHeight="1" x14ac:dyDescent="0.15">
      <c r="A87" s="187" t="s">
        <v>664</v>
      </c>
      <c r="B87" s="187" t="s">
        <v>819</v>
      </c>
      <c r="C87" s="187" t="s">
        <v>666</v>
      </c>
      <c r="D87" s="187" t="s">
        <v>820</v>
      </c>
      <c r="E87" s="187" t="s">
        <v>59</v>
      </c>
      <c r="F87" s="188"/>
      <c r="G87" s="18"/>
      <c r="H87" s="18">
        <v>22500</v>
      </c>
      <c r="I87" s="189"/>
      <c r="J87" s="189">
        <f>22500-H87</f>
        <v>0</v>
      </c>
      <c r="K87" s="189">
        <f t="shared" si="3"/>
        <v>0</v>
      </c>
      <c r="L87" s="190" t="s">
        <v>551</v>
      </c>
    </row>
    <row r="88" spans="1:13" s="180" customFormat="1" ht="8.65" customHeight="1" x14ac:dyDescent="0.15">
      <c r="A88" s="187" t="s">
        <v>664</v>
      </c>
      <c r="B88" s="187" t="s">
        <v>750</v>
      </c>
      <c r="C88" s="187" t="s">
        <v>666</v>
      </c>
      <c r="D88" s="187" t="s">
        <v>821</v>
      </c>
      <c r="E88" s="187" t="s">
        <v>59</v>
      </c>
      <c r="F88" s="188"/>
      <c r="G88" s="18"/>
      <c r="H88" s="18">
        <v>100000</v>
      </c>
      <c r="I88" s="189"/>
      <c r="J88" s="189">
        <f>100000-H88</f>
        <v>0</v>
      </c>
      <c r="K88" s="189">
        <f t="shared" si="3"/>
        <v>0</v>
      </c>
      <c r="L88" s="190" t="s">
        <v>551</v>
      </c>
    </row>
    <row r="89" spans="1:13" s="180" customFormat="1" ht="8.65" customHeight="1" x14ac:dyDescent="0.15">
      <c r="A89" s="187" t="s">
        <v>664</v>
      </c>
      <c r="B89" s="187" t="s">
        <v>822</v>
      </c>
      <c r="C89" s="187" t="s">
        <v>683</v>
      </c>
      <c r="D89" s="187" t="s">
        <v>823</v>
      </c>
      <c r="E89" s="187" t="s">
        <v>59</v>
      </c>
      <c r="F89" s="188"/>
      <c r="G89" s="18"/>
      <c r="H89" s="18">
        <v>3200</v>
      </c>
      <c r="I89" s="189"/>
      <c r="J89" s="189">
        <f>3200-H89</f>
        <v>0</v>
      </c>
      <c r="K89" s="189">
        <f t="shared" si="3"/>
        <v>0</v>
      </c>
      <c r="L89" s="190" t="s">
        <v>551</v>
      </c>
    </row>
    <row r="90" spans="1:13" s="180" customFormat="1" ht="8.65" customHeight="1" x14ac:dyDescent="0.15">
      <c r="A90" s="187" t="s">
        <v>664</v>
      </c>
      <c r="B90" s="187" t="s">
        <v>824</v>
      </c>
      <c r="C90" s="187" t="s">
        <v>683</v>
      </c>
      <c r="D90" s="187" t="s">
        <v>825</v>
      </c>
      <c r="E90" s="187" t="s">
        <v>59</v>
      </c>
      <c r="F90" s="188"/>
      <c r="G90" s="18"/>
      <c r="H90" s="18">
        <v>15000</v>
      </c>
      <c r="I90" s="189"/>
      <c r="J90" s="189">
        <f>15000-H90</f>
        <v>0</v>
      </c>
      <c r="K90" s="189">
        <f t="shared" si="3"/>
        <v>0</v>
      </c>
      <c r="L90" s="190" t="s">
        <v>551</v>
      </c>
    </row>
    <row r="91" spans="1:13" s="180" customFormat="1" ht="8.65" customHeight="1" x14ac:dyDescent="0.15">
      <c r="A91" s="187" t="s">
        <v>664</v>
      </c>
      <c r="B91" s="187" t="s">
        <v>826</v>
      </c>
      <c r="C91" s="187" t="s">
        <v>683</v>
      </c>
      <c r="D91" s="187" t="s">
        <v>827</v>
      </c>
      <c r="E91" s="187" t="s">
        <v>59</v>
      </c>
      <c r="F91" s="188"/>
      <c r="G91" s="18"/>
      <c r="H91" s="18">
        <v>15000</v>
      </c>
      <c r="I91" s="189"/>
      <c r="J91" s="189">
        <f>15000-H91</f>
        <v>0</v>
      </c>
      <c r="K91" s="189">
        <f t="shared" si="3"/>
        <v>0</v>
      </c>
      <c r="L91" s="190" t="s">
        <v>551</v>
      </c>
    </row>
    <row r="92" spans="1:13" s="180" customFormat="1" ht="8.65" customHeight="1" x14ac:dyDescent="0.15">
      <c r="A92" s="187" t="s">
        <v>664</v>
      </c>
      <c r="B92" s="187" t="s">
        <v>828</v>
      </c>
      <c r="C92" s="187" t="s">
        <v>707</v>
      </c>
      <c r="D92" s="187" t="s">
        <v>829</v>
      </c>
      <c r="E92" s="187" t="s">
        <v>59</v>
      </c>
      <c r="F92" s="188"/>
      <c r="G92" s="18"/>
      <c r="H92" s="18">
        <v>27250</v>
      </c>
      <c r="I92" s="189"/>
      <c r="J92" s="189">
        <f>105000-H92</f>
        <v>77750</v>
      </c>
      <c r="K92" s="189">
        <f t="shared" si="3"/>
        <v>77750</v>
      </c>
      <c r="L92" s="190" t="s">
        <v>551</v>
      </c>
    </row>
    <row r="93" spans="1:13" s="180" customFormat="1" ht="8.65" customHeight="1" x14ac:dyDescent="0.15">
      <c r="A93" s="187" t="s">
        <v>664</v>
      </c>
      <c r="B93" s="187" t="s">
        <v>830</v>
      </c>
      <c r="C93" s="187" t="s">
        <v>683</v>
      </c>
      <c r="D93" s="187" t="s">
        <v>831</v>
      </c>
      <c r="E93" s="187" t="s">
        <v>59</v>
      </c>
      <c r="F93" s="188"/>
      <c r="G93" s="18"/>
      <c r="H93" s="18">
        <v>26500</v>
      </c>
      <c r="I93" s="189"/>
      <c r="J93" s="189">
        <f>26500-H93</f>
        <v>0</v>
      </c>
      <c r="K93" s="189">
        <f t="shared" si="3"/>
        <v>0</v>
      </c>
      <c r="L93" s="190" t="s">
        <v>551</v>
      </c>
    </row>
    <row r="94" spans="1:13" s="180" customFormat="1" ht="10.15" customHeight="1" x14ac:dyDescent="0.15">
      <c r="A94" s="270" t="s">
        <v>66</v>
      </c>
      <c r="B94" s="270"/>
      <c r="C94" s="270"/>
      <c r="D94" s="270"/>
      <c r="E94" s="270"/>
      <c r="F94" s="270"/>
      <c r="G94" s="191"/>
      <c r="H94" s="191"/>
      <c r="I94" s="192"/>
      <c r="J94" s="192">
        <f>SUM(J50:J93)</f>
        <v>1406359</v>
      </c>
      <c r="K94" s="192">
        <f>+K92+K85+K73+K72+K71+K70+K69+K56</f>
        <v>1406359</v>
      </c>
      <c r="L94" s="201"/>
    </row>
    <row r="95" spans="1:13" s="180" customFormat="1" ht="4.1500000000000004" customHeight="1" x14ac:dyDescent="0.2">
      <c r="A95" s="197"/>
      <c r="B95" s="197"/>
      <c r="C95" s="197"/>
      <c r="D95" s="197"/>
      <c r="E95" s="197"/>
      <c r="F95" s="197"/>
      <c r="G95" s="197"/>
      <c r="H95" s="198"/>
      <c r="I95" s="199"/>
      <c r="J95" s="199"/>
      <c r="K95" s="199"/>
      <c r="L95" s="197"/>
      <c r="M95" s="197"/>
    </row>
    <row r="96" spans="1:13" s="180" customFormat="1" ht="8.65" customHeight="1" x14ac:dyDescent="0.15">
      <c r="A96" s="187" t="s">
        <v>664</v>
      </c>
      <c r="B96" s="187" t="s">
        <v>665</v>
      </c>
      <c r="C96" s="187" t="s">
        <v>666</v>
      </c>
      <c r="D96" s="187" t="s">
        <v>667</v>
      </c>
      <c r="E96" s="187" t="s">
        <v>70</v>
      </c>
      <c r="F96" s="187" t="s">
        <v>71</v>
      </c>
      <c r="G96" s="18"/>
      <c r="H96" s="18">
        <v>112588</v>
      </c>
      <c r="I96" s="189"/>
      <c r="J96" s="189">
        <f>450000-H96</f>
        <v>337412</v>
      </c>
      <c r="K96" s="189">
        <f t="shared" ref="K96:K97" si="4">+J96-I96</f>
        <v>337412</v>
      </c>
      <c r="L96" s="190" t="s">
        <v>551</v>
      </c>
    </row>
    <row r="97" spans="1:12" s="180" customFormat="1" ht="8.65" customHeight="1" x14ac:dyDescent="0.15">
      <c r="A97" s="187" t="s">
        <v>664</v>
      </c>
      <c r="B97" s="187" t="s">
        <v>764</v>
      </c>
      <c r="C97" s="187" t="s">
        <v>666</v>
      </c>
      <c r="D97" s="187" t="s">
        <v>765</v>
      </c>
      <c r="E97" s="187" t="s">
        <v>70</v>
      </c>
      <c r="F97" s="188"/>
      <c r="G97" s="18"/>
      <c r="H97" s="18"/>
      <c r="I97" s="189"/>
      <c r="J97" s="189">
        <v>8000</v>
      </c>
      <c r="K97" s="189">
        <f t="shared" si="4"/>
        <v>8000</v>
      </c>
      <c r="L97" s="190" t="s">
        <v>551</v>
      </c>
    </row>
    <row r="98" spans="1:12" s="180" customFormat="1" ht="8.65" customHeight="1" x14ac:dyDescent="0.15">
      <c r="A98" s="187" t="s">
        <v>664</v>
      </c>
      <c r="B98" s="187" t="s">
        <v>678</v>
      </c>
      <c r="C98" s="187" t="s">
        <v>676</v>
      </c>
      <c r="D98" s="187" t="s">
        <v>679</v>
      </c>
      <c r="E98" s="187" t="s">
        <v>70</v>
      </c>
      <c r="F98" s="188"/>
      <c r="G98" s="18"/>
      <c r="H98" s="18">
        <v>1056</v>
      </c>
      <c r="I98" s="189"/>
      <c r="J98" s="189">
        <f>2000-H98</f>
        <v>944</v>
      </c>
      <c r="K98" s="189">
        <f>+J98-I98</f>
        <v>944</v>
      </c>
      <c r="L98" s="190" t="s">
        <v>551</v>
      </c>
    </row>
    <row r="99" spans="1:12" s="180" customFormat="1" ht="8.65" customHeight="1" x14ac:dyDescent="0.15">
      <c r="A99" s="187" t="s">
        <v>664</v>
      </c>
      <c r="B99" s="187" t="s">
        <v>680</v>
      </c>
      <c r="C99" s="187" t="s">
        <v>676</v>
      </c>
      <c r="D99" s="187" t="s">
        <v>681</v>
      </c>
      <c r="E99" s="187" t="s">
        <v>70</v>
      </c>
      <c r="F99" s="188"/>
      <c r="G99" s="18"/>
      <c r="H99" s="18">
        <v>2112</v>
      </c>
      <c r="I99" s="189"/>
      <c r="J99" s="189">
        <f>4000-H99</f>
        <v>1888</v>
      </c>
      <c r="K99" s="189">
        <f>+J99-I99</f>
        <v>1888</v>
      </c>
      <c r="L99" s="190" t="s">
        <v>551</v>
      </c>
    </row>
    <row r="100" spans="1:12" s="180" customFormat="1" ht="8.65" customHeight="1" x14ac:dyDescent="0.15">
      <c r="A100" s="187" t="s">
        <v>664</v>
      </c>
      <c r="B100" s="187" t="s">
        <v>734</v>
      </c>
      <c r="C100" s="187" t="s">
        <v>683</v>
      </c>
      <c r="D100" s="187" t="s">
        <v>735</v>
      </c>
      <c r="E100" s="187" t="s">
        <v>70</v>
      </c>
      <c r="F100" s="188"/>
      <c r="G100" s="18"/>
      <c r="H100" s="18">
        <v>2750</v>
      </c>
      <c r="I100" s="189"/>
      <c r="J100" s="189">
        <f>2750-H100</f>
        <v>0</v>
      </c>
      <c r="K100" s="189">
        <f>+J100-I100</f>
        <v>0</v>
      </c>
      <c r="L100" s="190" t="s">
        <v>551</v>
      </c>
    </row>
    <row r="101" spans="1:12" s="180" customFormat="1" ht="8.65" customHeight="1" x14ac:dyDescent="0.15">
      <c r="A101" s="187" t="s">
        <v>664</v>
      </c>
      <c r="B101" s="187" t="s">
        <v>832</v>
      </c>
      <c r="C101" s="187" t="s">
        <v>683</v>
      </c>
      <c r="D101" s="187" t="s">
        <v>833</v>
      </c>
      <c r="E101" s="187" t="s">
        <v>70</v>
      </c>
      <c r="F101" s="188"/>
      <c r="G101" s="18"/>
      <c r="H101" s="18">
        <v>4000</v>
      </c>
      <c r="I101" s="189"/>
      <c r="J101" s="189">
        <f>4000-H101</f>
        <v>0</v>
      </c>
      <c r="K101" s="189">
        <f t="shared" ref="K101:K104" si="5">+J101-I101</f>
        <v>0</v>
      </c>
      <c r="L101" s="190" t="s">
        <v>551</v>
      </c>
    </row>
    <row r="102" spans="1:12" s="180" customFormat="1" ht="8.65" customHeight="1" x14ac:dyDescent="0.15">
      <c r="A102" s="187" t="s">
        <v>664</v>
      </c>
      <c r="B102" s="187" t="s">
        <v>738</v>
      </c>
      <c r="C102" s="187" t="s">
        <v>683</v>
      </c>
      <c r="D102" s="187" t="s">
        <v>739</v>
      </c>
      <c r="E102" s="187" t="s">
        <v>70</v>
      </c>
      <c r="F102" s="188"/>
      <c r="G102" s="18"/>
      <c r="H102" s="18">
        <v>10000</v>
      </c>
      <c r="I102" s="189"/>
      <c r="J102" s="189">
        <f>10000-H102</f>
        <v>0</v>
      </c>
      <c r="K102" s="189">
        <f t="shared" si="5"/>
        <v>0</v>
      </c>
      <c r="L102" s="190" t="s">
        <v>551</v>
      </c>
    </row>
    <row r="103" spans="1:12" s="180" customFormat="1" ht="8.65" customHeight="1" x14ac:dyDescent="0.15">
      <c r="A103" s="187" t="s">
        <v>664</v>
      </c>
      <c r="B103" s="187" t="s">
        <v>691</v>
      </c>
      <c r="C103" s="187" t="s">
        <v>683</v>
      </c>
      <c r="D103" s="187" t="s">
        <v>692</v>
      </c>
      <c r="E103" s="187" t="s">
        <v>70</v>
      </c>
      <c r="F103" s="188"/>
      <c r="G103" s="18"/>
      <c r="H103" s="18">
        <v>6000</v>
      </c>
      <c r="I103" s="189"/>
      <c r="J103" s="189">
        <f>6000-H103</f>
        <v>0</v>
      </c>
      <c r="K103" s="189">
        <f t="shared" si="5"/>
        <v>0</v>
      </c>
      <c r="L103" s="190" t="s">
        <v>551</v>
      </c>
    </row>
    <row r="104" spans="1:12" s="180" customFormat="1" ht="8.65" customHeight="1" x14ac:dyDescent="0.15">
      <c r="A104" s="187" t="s">
        <v>664</v>
      </c>
      <c r="B104" s="187" t="s">
        <v>834</v>
      </c>
      <c r="C104" s="187" t="s">
        <v>683</v>
      </c>
      <c r="D104" s="187" t="s">
        <v>835</v>
      </c>
      <c r="E104" s="187" t="s">
        <v>70</v>
      </c>
      <c r="F104" s="188"/>
      <c r="G104" s="18"/>
      <c r="H104" s="18">
        <v>6000</v>
      </c>
      <c r="I104" s="189"/>
      <c r="J104" s="189">
        <f>6000-H104</f>
        <v>0</v>
      </c>
      <c r="K104" s="189">
        <f t="shared" si="5"/>
        <v>0</v>
      </c>
      <c r="L104" s="190" t="s">
        <v>551</v>
      </c>
    </row>
    <row r="105" spans="1:12" s="180" customFormat="1" ht="8.65" customHeight="1" x14ac:dyDescent="0.15">
      <c r="A105" s="187" t="s">
        <v>664</v>
      </c>
      <c r="B105" s="187" t="s">
        <v>836</v>
      </c>
      <c r="C105" s="187" t="s">
        <v>683</v>
      </c>
      <c r="D105" s="187" t="s">
        <v>837</v>
      </c>
      <c r="E105" s="187" t="s">
        <v>70</v>
      </c>
      <c r="F105" s="188"/>
      <c r="G105" s="18">
        <v>172691.9</v>
      </c>
      <c r="H105" s="18"/>
      <c r="I105" s="189">
        <v>811566</v>
      </c>
      <c r="J105" s="189">
        <f>3900000+G105</f>
        <v>4072691.9</v>
      </c>
      <c r="K105" s="189">
        <f>+J105-I105</f>
        <v>3261125.9</v>
      </c>
      <c r="L105" s="190" t="s">
        <v>551</v>
      </c>
    </row>
    <row r="106" spans="1:12" s="180" customFormat="1" ht="8.65" customHeight="1" x14ac:dyDescent="0.15">
      <c r="A106" s="187" t="s">
        <v>664</v>
      </c>
      <c r="B106" s="187" t="s">
        <v>838</v>
      </c>
      <c r="C106" s="187" t="s">
        <v>683</v>
      </c>
      <c r="D106" s="187" t="s">
        <v>839</v>
      </c>
      <c r="E106" s="187" t="s">
        <v>70</v>
      </c>
      <c r="F106" s="188"/>
      <c r="G106" s="18"/>
      <c r="H106" s="18">
        <v>90000</v>
      </c>
      <c r="I106" s="189"/>
      <c r="J106" s="189">
        <f>90000-H106</f>
        <v>0</v>
      </c>
      <c r="K106" s="189"/>
      <c r="L106" s="190" t="s">
        <v>551</v>
      </c>
    </row>
    <row r="107" spans="1:12" s="180" customFormat="1" ht="8.65" customHeight="1" x14ac:dyDescent="0.15">
      <c r="A107" s="187" t="s">
        <v>664</v>
      </c>
      <c r="B107" s="187" t="s">
        <v>840</v>
      </c>
      <c r="C107" s="187" t="s">
        <v>683</v>
      </c>
      <c r="D107" s="187" t="s">
        <v>841</v>
      </c>
      <c r="E107" s="187" t="s">
        <v>70</v>
      </c>
      <c r="F107" s="188"/>
      <c r="G107" s="18"/>
      <c r="H107" s="18">
        <v>90000</v>
      </c>
      <c r="I107" s="189"/>
      <c r="J107" s="189">
        <f>90000-H107</f>
        <v>0</v>
      </c>
      <c r="K107" s="189">
        <f>+J107-I107</f>
        <v>0</v>
      </c>
      <c r="L107" s="190" t="s">
        <v>551</v>
      </c>
    </row>
    <row r="108" spans="1:12" s="180" customFormat="1" ht="8.65" customHeight="1" x14ac:dyDescent="0.15">
      <c r="A108" s="187" t="s">
        <v>664</v>
      </c>
      <c r="B108" s="187" t="s">
        <v>842</v>
      </c>
      <c r="C108" s="187" t="s">
        <v>683</v>
      </c>
      <c r="D108" s="187" t="s">
        <v>843</v>
      </c>
      <c r="E108" s="187" t="s">
        <v>70</v>
      </c>
      <c r="F108" s="188"/>
      <c r="G108" s="18"/>
      <c r="H108" s="18">
        <v>125000</v>
      </c>
      <c r="I108" s="189"/>
      <c r="J108" s="189">
        <f>125000-H108</f>
        <v>0</v>
      </c>
      <c r="K108" s="189">
        <f t="shared" ref="K108:K110" si="6">+J108-I108</f>
        <v>0</v>
      </c>
      <c r="L108" s="190" t="s">
        <v>551</v>
      </c>
    </row>
    <row r="109" spans="1:12" s="180" customFormat="1" ht="8.65" customHeight="1" x14ac:dyDescent="0.15">
      <c r="A109" s="187" t="s">
        <v>664</v>
      </c>
      <c r="B109" s="187" t="s">
        <v>844</v>
      </c>
      <c r="C109" s="187" t="s">
        <v>683</v>
      </c>
      <c r="D109" s="187" t="s">
        <v>845</v>
      </c>
      <c r="E109" s="187" t="s">
        <v>70</v>
      </c>
      <c r="F109" s="188"/>
      <c r="G109" s="18"/>
      <c r="H109" s="18">
        <v>120000</v>
      </c>
      <c r="I109" s="189"/>
      <c r="J109" s="189">
        <f>120000-H109</f>
        <v>0</v>
      </c>
      <c r="K109" s="189">
        <f t="shared" si="6"/>
        <v>0</v>
      </c>
      <c r="L109" s="190" t="s">
        <v>551</v>
      </c>
    </row>
    <row r="110" spans="1:12" s="180" customFormat="1" ht="8.65" customHeight="1" x14ac:dyDescent="0.15">
      <c r="A110" s="187" t="s">
        <v>664</v>
      </c>
      <c r="B110" s="187" t="s">
        <v>846</v>
      </c>
      <c r="C110" s="187" t="s">
        <v>683</v>
      </c>
      <c r="D110" s="187" t="s">
        <v>847</v>
      </c>
      <c r="E110" s="187" t="s">
        <v>70</v>
      </c>
      <c r="F110" s="188"/>
      <c r="G110" s="18"/>
      <c r="H110" s="18">
        <v>132000</v>
      </c>
      <c r="I110" s="189"/>
      <c r="J110" s="189">
        <f>132000-H110</f>
        <v>0</v>
      </c>
      <c r="K110" s="189">
        <f t="shared" si="6"/>
        <v>0</v>
      </c>
      <c r="L110" s="190" t="s">
        <v>551</v>
      </c>
    </row>
    <row r="111" spans="1:12" s="206" customFormat="1" ht="8.65" customHeight="1" x14ac:dyDescent="0.15">
      <c r="A111" s="202" t="s">
        <v>664</v>
      </c>
      <c r="B111" s="202" t="s">
        <v>799</v>
      </c>
      <c r="C111" s="202" t="s">
        <v>666</v>
      </c>
      <c r="D111" s="202" t="s">
        <v>800</v>
      </c>
      <c r="E111" s="202" t="s">
        <v>70</v>
      </c>
      <c r="F111" s="203"/>
      <c r="G111" s="204"/>
      <c r="H111" s="204"/>
      <c r="I111" s="205"/>
      <c r="J111" s="205">
        <v>36000</v>
      </c>
      <c r="K111" s="205">
        <f>+J111-I111</f>
        <v>36000</v>
      </c>
      <c r="L111" s="190" t="s">
        <v>551</v>
      </c>
    </row>
    <row r="112" spans="1:12" s="180" customFormat="1" ht="8.65" customHeight="1" x14ac:dyDescent="0.15">
      <c r="A112" s="187" t="s">
        <v>664</v>
      </c>
      <c r="B112" s="187" t="s">
        <v>848</v>
      </c>
      <c r="C112" s="187" t="s">
        <v>666</v>
      </c>
      <c r="D112" s="187" t="s">
        <v>849</v>
      </c>
      <c r="E112" s="187" t="s">
        <v>70</v>
      </c>
      <c r="F112" s="188"/>
      <c r="G112" s="18"/>
      <c r="H112" s="18">
        <v>50000</v>
      </c>
      <c r="I112" s="189"/>
      <c r="J112" s="189">
        <f>50000-H112</f>
        <v>0</v>
      </c>
      <c r="K112" s="189">
        <f>+J112-I112</f>
        <v>0</v>
      </c>
      <c r="L112" s="190" t="s">
        <v>551</v>
      </c>
    </row>
    <row r="113" spans="1:14" s="180" customFormat="1" ht="8.65" customHeight="1" x14ac:dyDescent="0.15">
      <c r="A113" s="187" t="s">
        <v>664</v>
      </c>
      <c r="B113" s="187" t="s">
        <v>850</v>
      </c>
      <c r="C113" s="187" t="s">
        <v>683</v>
      </c>
      <c r="D113" s="187" t="s">
        <v>851</v>
      </c>
      <c r="E113" s="187" t="s">
        <v>70</v>
      </c>
      <c r="F113" s="188"/>
      <c r="G113" s="18"/>
      <c r="H113" s="18">
        <v>2400</v>
      </c>
      <c r="I113" s="189"/>
      <c r="J113" s="189">
        <f>2400-H113</f>
        <v>0</v>
      </c>
      <c r="K113" s="189">
        <f t="shared" ref="K113:K118" si="7">+J113-I113</f>
        <v>0</v>
      </c>
      <c r="L113" s="190" t="s">
        <v>551</v>
      </c>
    </row>
    <row r="114" spans="1:14" s="180" customFormat="1" ht="8.65" customHeight="1" x14ac:dyDescent="0.15">
      <c r="A114" s="187" t="s">
        <v>664</v>
      </c>
      <c r="B114" s="187" t="s">
        <v>700</v>
      </c>
      <c r="C114" s="187" t="s">
        <v>683</v>
      </c>
      <c r="D114" s="187" t="s">
        <v>701</v>
      </c>
      <c r="E114" s="187" t="s">
        <v>70</v>
      </c>
      <c r="F114" s="188"/>
      <c r="G114" s="18"/>
      <c r="H114" s="18">
        <v>4000</v>
      </c>
      <c r="I114" s="189"/>
      <c r="J114" s="189">
        <f>4000-H114</f>
        <v>0</v>
      </c>
      <c r="K114" s="189">
        <f t="shared" si="7"/>
        <v>0</v>
      </c>
      <c r="L114" s="190" t="s">
        <v>551</v>
      </c>
    </row>
    <row r="115" spans="1:14" s="180" customFormat="1" ht="8.65" customHeight="1" x14ac:dyDescent="0.15">
      <c r="A115" s="187" t="s">
        <v>664</v>
      </c>
      <c r="B115" s="187" t="s">
        <v>742</v>
      </c>
      <c r="C115" s="187" t="s">
        <v>683</v>
      </c>
      <c r="D115" s="187" t="s">
        <v>743</v>
      </c>
      <c r="E115" s="187" t="s">
        <v>70</v>
      </c>
      <c r="F115" s="188"/>
      <c r="G115" s="18"/>
      <c r="H115" s="18">
        <v>9000</v>
      </c>
      <c r="I115" s="189"/>
      <c r="J115" s="189">
        <f>9000-H115</f>
        <v>0</v>
      </c>
      <c r="K115" s="189">
        <f t="shared" si="7"/>
        <v>0</v>
      </c>
      <c r="L115" s="190" t="s">
        <v>551</v>
      </c>
    </row>
    <row r="116" spans="1:14" s="180" customFormat="1" ht="8.65" customHeight="1" x14ac:dyDescent="0.15">
      <c r="A116" s="187" t="s">
        <v>664</v>
      </c>
      <c r="B116" s="187" t="s">
        <v>744</v>
      </c>
      <c r="C116" s="187" t="s">
        <v>683</v>
      </c>
      <c r="D116" s="187" t="s">
        <v>745</v>
      </c>
      <c r="E116" s="187" t="s">
        <v>70</v>
      </c>
      <c r="F116" s="188"/>
      <c r="G116" s="18"/>
      <c r="H116" s="18">
        <v>6000</v>
      </c>
      <c r="I116" s="189"/>
      <c r="J116" s="189">
        <f>6000-H116</f>
        <v>0</v>
      </c>
      <c r="K116" s="189">
        <f t="shared" si="7"/>
        <v>0</v>
      </c>
      <c r="L116" s="190" t="s">
        <v>551</v>
      </c>
    </row>
    <row r="117" spans="1:14" s="180" customFormat="1" ht="8.65" customHeight="1" x14ac:dyDescent="0.15">
      <c r="A117" s="187" t="s">
        <v>664</v>
      </c>
      <c r="B117" s="187" t="s">
        <v>852</v>
      </c>
      <c r="C117" s="187" t="s">
        <v>683</v>
      </c>
      <c r="D117" s="187" t="s">
        <v>853</v>
      </c>
      <c r="E117" s="187" t="s">
        <v>70</v>
      </c>
      <c r="F117" s="188"/>
      <c r="G117" s="18"/>
      <c r="H117" s="18">
        <v>6000</v>
      </c>
      <c r="I117" s="189"/>
      <c r="J117" s="189">
        <f>6000-H117</f>
        <v>0</v>
      </c>
      <c r="K117" s="189">
        <f t="shared" si="7"/>
        <v>0</v>
      </c>
      <c r="L117" s="190" t="s">
        <v>551</v>
      </c>
    </row>
    <row r="118" spans="1:14" s="180" customFormat="1" ht="8.65" customHeight="1" x14ac:dyDescent="0.15">
      <c r="A118" s="187" t="s">
        <v>664</v>
      </c>
      <c r="B118" s="187" t="s">
        <v>854</v>
      </c>
      <c r="C118" s="187" t="s">
        <v>683</v>
      </c>
      <c r="D118" s="187" t="s">
        <v>855</v>
      </c>
      <c r="E118" s="187" t="s">
        <v>70</v>
      </c>
      <c r="F118" s="188"/>
      <c r="G118" s="18"/>
      <c r="H118" s="18">
        <v>4000</v>
      </c>
      <c r="I118" s="189"/>
      <c r="J118" s="189">
        <f>4000-H118</f>
        <v>0</v>
      </c>
      <c r="K118" s="189">
        <f t="shared" si="7"/>
        <v>0</v>
      </c>
      <c r="L118" s="190" t="s">
        <v>551</v>
      </c>
    </row>
    <row r="119" spans="1:14" s="180" customFormat="1" ht="8.65" customHeight="1" x14ac:dyDescent="0.15">
      <c r="A119" s="187" t="s">
        <v>664</v>
      </c>
      <c r="B119" s="187" t="s">
        <v>856</v>
      </c>
      <c r="C119" s="187" t="s">
        <v>666</v>
      </c>
      <c r="D119" s="187" t="s">
        <v>857</v>
      </c>
      <c r="E119" s="187" t="s">
        <v>70</v>
      </c>
      <c r="F119" s="188"/>
      <c r="G119" s="188"/>
      <c r="H119" s="18">
        <v>1369771</v>
      </c>
      <c r="I119" s="189"/>
      <c r="J119" s="189">
        <f>1500000-H119</f>
        <v>130229</v>
      </c>
      <c r="K119" s="189">
        <f>+J119-I119</f>
        <v>130229</v>
      </c>
      <c r="L119" s="190" t="s">
        <v>551</v>
      </c>
    </row>
    <row r="120" spans="1:14" s="180" customFormat="1" ht="8.65" customHeight="1" x14ac:dyDescent="0.15">
      <c r="A120" s="187" t="s">
        <v>664</v>
      </c>
      <c r="B120" s="187" t="s">
        <v>713</v>
      </c>
      <c r="C120" s="187" t="s">
        <v>714</v>
      </c>
      <c r="D120" s="187" t="s">
        <v>715</v>
      </c>
      <c r="E120" s="187" t="s">
        <v>70</v>
      </c>
      <c r="F120" s="188"/>
      <c r="G120" s="18"/>
      <c r="H120" s="18"/>
      <c r="I120" s="189"/>
      <c r="J120" s="189">
        <v>140000</v>
      </c>
      <c r="K120" s="189">
        <f>+J120-I120</f>
        <v>140000</v>
      </c>
      <c r="L120" s="190" t="s">
        <v>551</v>
      </c>
    </row>
    <row r="121" spans="1:14" s="180" customFormat="1" ht="8.65" customHeight="1" x14ac:dyDescent="0.15">
      <c r="A121" s="187" t="s">
        <v>664</v>
      </c>
      <c r="B121" s="187" t="s">
        <v>858</v>
      </c>
      <c r="C121" s="187" t="s">
        <v>683</v>
      </c>
      <c r="D121" s="187" t="s">
        <v>859</v>
      </c>
      <c r="E121" s="187" t="s">
        <v>70</v>
      </c>
      <c r="F121" s="188"/>
      <c r="G121" s="18"/>
      <c r="H121" s="18">
        <v>1000</v>
      </c>
      <c r="I121" s="189"/>
      <c r="J121" s="189">
        <f>1000-H121</f>
        <v>0</v>
      </c>
      <c r="K121" s="189">
        <f>+J121-I121</f>
        <v>0</v>
      </c>
      <c r="L121" s="190" t="s">
        <v>551</v>
      </c>
    </row>
    <row r="122" spans="1:14" s="180" customFormat="1" ht="8.65" customHeight="1" x14ac:dyDescent="0.15">
      <c r="A122" s="187" t="s">
        <v>664</v>
      </c>
      <c r="B122" s="187" t="s">
        <v>830</v>
      </c>
      <c r="C122" s="187" t="s">
        <v>683</v>
      </c>
      <c r="D122" s="187" t="s">
        <v>831</v>
      </c>
      <c r="E122" s="187" t="s">
        <v>70</v>
      </c>
      <c r="F122" s="188"/>
      <c r="G122" s="18"/>
      <c r="H122" s="18">
        <v>12000</v>
      </c>
      <c r="I122" s="189"/>
      <c r="J122" s="189">
        <f>12000-H122</f>
        <v>0</v>
      </c>
      <c r="K122" s="189">
        <f>+J122-I122</f>
        <v>0</v>
      </c>
      <c r="L122" s="190" t="s">
        <v>551</v>
      </c>
    </row>
    <row r="123" spans="1:14" s="180" customFormat="1" ht="10.15" customHeight="1" x14ac:dyDescent="0.15">
      <c r="A123" s="270" t="s">
        <v>83</v>
      </c>
      <c r="B123" s="270"/>
      <c r="C123" s="270"/>
      <c r="D123" s="270"/>
      <c r="E123" s="270"/>
      <c r="F123" s="270"/>
      <c r="G123" s="191"/>
      <c r="H123" s="191"/>
      <c r="I123" s="192">
        <f>SUM(I96:I122)</f>
        <v>811566</v>
      </c>
      <c r="J123" s="192">
        <f>SUM(J96:J122)</f>
        <v>4727164.9000000004</v>
      </c>
      <c r="K123" s="192">
        <f>SUM(K96:K122)</f>
        <v>3915598.9</v>
      </c>
      <c r="L123" s="201"/>
    </row>
    <row r="124" spans="1:14" s="180" customFormat="1" ht="4.9000000000000004" customHeight="1" x14ac:dyDescent="0.2">
      <c r="A124" s="197"/>
      <c r="B124" s="197"/>
      <c r="C124" s="197"/>
      <c r="D124" s="197"/>
      <c r="E124" s="197"/>
      <c r="F124" s="197"/>
      <c r="G124" s="197"/>
      <c r="H124" s="198"/>
      <c r="I124" s="199"/>
      <c r="J124" s="199"/>
      <c r="K124" s="199"/>
      <c r="L124" s="197"/>
      <c r="M124" s="197"/>
      <c r="N124" s="197"/>
    </row>
    <row r="125" spans="1:14" s="180" customFormat="1" ht="8.65" customHeight="1" x14ac:dyDescent="0.15">
      <c r="A125" s="187" t="s">
        <v>664</v>
      </c>
      <c r="B125" s="187" t="s">
        <v>665</v>
      </c>
      <c r="C125" s="187" t="s">
        <v>666</v>
      </c>
      <c r="D125" s="187" t="s">
        <v>667</v>
      </c>
      <c r="E125" s="187" t="s">
        <v>85</v>
      </c>
      <c r="F125" s="187" t="s">
        <v>531</v>
      </c>
      <c r="G125" s="18"/>
      <c r="H125" s="18">
        <v>26940</v>
      </c>
      <c r="I125" s="189"/>
      <c r="J125" s="189">
        <f>26940-H125</f>
        <v>0</v>
      </c>
      <c r="K125" s="189">
        <f>+J125-I125</f>
        <v>0</v>
      </c>
      <c r="L125" s="190" t="s">
        <v>551</v>
      </c>
    </row>
    <row r="126" spans="1:14" s="180" customFormat="1" ht="8.65" customHeight="1" x14ac:dyDescent="0.15">
      <c r="A126" s="187" t="s">
        <v>664</v>
      </c>
      <c r="B126" s="187" t="s">
        <v>764</v>
      </c>
      <c r="C126" s="187" t="s">
        <v>666</v>
      </c>
      <c r="D126" s="187" t="s">
        <v>765</v>
      </c>
      <c r="E126" s="187" t="s">
        <v>85</v>
      </c>
      <c r="F126" s="188"/>
      <c r="G126" s="18"/>
      <c r="H126" s="18"/>
      <c r="I126" s="189"/>
      <c r="J126" s="189">
        <v>30000</v>
      </c>
      <c r="K126" s="189">
        <f t="shared" ref="K126" si="8">+J126-H126</f>
        <v>30000</v>
      </c>
      <c r="L126" s="190" t="s">
        <v>551</v>
      </c>
    </row>
    <row r="127" spans="1:14" s="180" customFormat="1" ht="8.65" customHeight="1" x14ac:dyDescent="0.15">
      <c r="A127" s="187" t="s">
        <v>664</v>
      </c>
      <c r="B127" s="187" t="s">
        <v>685</v>
      </c>
      <c r="C127" s="187" t="s">
        <v>683</v>
      </c>
      <c r="D127" s="187" t="s">
        <v>860</v>
      </c>
      <c r="E127" s="187" t="s">
        <v>85</v>
      </c>
      <c r="F127" s="188"/>
      <c r="G127" s="18"/>
      <c r="H127" s="18">
        <v>7000</v>
      </c>
      <c r="I127" s="189"/>
      <c r="J127" s="189">
        <f>7000-H127</f>
        <v>0</v>
      </c>
      <c r="K127" s="189">
        <f>+J127-I127</f>
        <v>0</v>
      </c>
      <c r="L127" s="190" t="s">
        <v>551</v>
      </c>
    </row>
    <row r="128" spans="1:14" s="180" customFormat="1" ht="8.65" customHeight="1" x14ac:dyDescent="0.15">
      <c r="A128" s="187" t="s">
        <v>664</v>
      </c>
      <c r="B128" s="187" t="s">
        <v>861</v>
      </c>
      <c r="C128" s="187" t="s">
        <v>666</v>
      </c>
      <c r="D128" s="187" t="s">
        <v>862</v>
      </c>
      <c r="E128" s="187" t="s">
        <v>85</v>
      </c>
      <c r="F128" s="188"/>
      <c r="G128" s="18"/>
      <c r="H128" s="18">
        <v>5120</v>
      </c>
      <c r="I128" s="189"/>
      <c r="J128" s="189">
        <f>5120-H128</f>
        <v>0</v>
      </c>
      <c r="K128" s="189">
        <f>+J128-I128</f>
        <v>0</v>
      </c>
      <c r="L128" s="190" t="s">
        <v>551</v>
      </c>
    </row>
    <row r="129" spans="1:12" s="180" customFormat="1" ht="8.65" customHeight="1" x14ac:dyDescent="0.15">
      <c r="A129" s="187" t="s">
        <v>664</v>
      </c>
      <c r="B129" s="187" t="s">
        <v>863</v>
      </c>
      <c r="C129" s="187" t="s">
        <v>864</v>
      </c>
      <c r="D129" s="187" t="s">
        <v>865</v>
      </c>
      <c r="E129" s="187" t="s">
        <v>85</v>
      </c>
      <c r="F129" s="188"/>
      <c r="G129" s="18"/>
      <c r="H129" s="18">
        <v>1384</v>
      </c>
      <c r="I129" s="189"/>
      <c r="J129" s="189">
        <f>5489-H129</f>
        <v>4105</v>
      </c>
      <c r="K129" s="189">
        <f>+J129-I129</f>
        <v>4105</v>
      </c>
      <c r="L129" s="190" t="s">
        <v>551</v>
      </c>
    </row>
    <row r="130" spans="1:12" s="180" customFormat="1" ht="8.65" customHeight="1" x14ac:dyDescent="0.15">
      <c r="A130" s="187" t="s">
        <v>664</v>
      </c>
      <c r="B130" s="187" t="s">
        <v>866</v>
      </c>
      <c r="C130" s="187" t="s">
        <v>683</v>
      </c>
      <c r="D130" s="187" t="s">
        <v>867</v>
      </c>
      <c r="E130" s="187" t="s">
        <v>85</v>
      </c>
      <c r="F130" s="188"/>
      <c r="G130" s="18"/>
      <c r="H130" s="18">
        <v>4000</v>
      </c>
      <c r="I130" s="189"/>
      <c r="J130" s="189">
        <f>4000-H130</f>
        <v>0</v>
      </c>
      <c r="K130" s="189">
        <f>-J130-I131</f>
        <v>0</v>
      </c>
      <c r="L130" s="190" t="s">
        <v>551</v>
      </c>
    </row>
    <row r="131" spans="1:12" s="180" customFormat="1" ht="8.65" customHeight="1" x14ac:dyDescent="0.15">
      <c r="A131" s="187" t="s">
        <v>664</v>
      </c>
      <c r="B131" s="187" t="s">
        <v>781</v>
      </c>
      <c r="C131" s="187" t="s">
        <v>683</v>
      </c>
      <c r="D131" s="187" t="s">
        <v>868</v>
      </c>
      <c r="E131" s="187" t="s">
        <v>85</v>
      </c>
      <c r="F131" s="188"/>
      <c r="G131" s="18"/>
      <c r="H131" s="18">
        <v>16950</v>
      </c>
      <c r="I131" s="189"/>
      <c r="J131" s="189">
        <f>16950-H131</f>
        <v>0</v>
      </c>
      <c r="K131" s="189">
        <f t="shared" ref="K131:K144" si="9">-J131-I132</f>
        <v>0</v>
      </c>
      <c r="L131" s="190" t="s">
        <v>551</v>
      </c>
    </row>
    <row r="132" spans="1:12" s="180" customFormat="1" ht="8.65" customHeight="1" x14ac:dyDescent="0.15">
      <c r="A132" s="187" t="s">
        <v>664</v>
      </c>
      <c r="B132" s="187" t="s">
        <v>846</v>
      </c>
      <c r="C132" s="187" t="s">
        <v>683</v>
      </c>
      <c r="D132" s="187" t="s">
        <v>847</v>
      </c>
      <c r="E132" s="187" t="s">
        <v>85</v>
      </c>
      <c r="F132" s="188"/>
      <c r="G132" s="18"/>
      <c r="H132" s="18">
        <v>66000</v>
      </c>
      <c r="I132" s="189"/>
      <c r="J132" s="189">
        <f>66000-H132</f>
        <v>0</v>
      </c>
      <c r="K132" s="189">
        <f t="shared" si="9"/>
        <v>0</v>
      </c>
      <c r="L132" s="190" t="s">
        <v>551</v>
      </c>
    </row>
    <row r="133" spans="1:12" s="180" customFormat="1" ht="8.65" customHeight="1" x14ac:dyDescent="0.15">
      <c r="A133" s="187" t="s">
        <v>664</v>
      </c>
      <c r="B133" s="187" t="s">
        <v>850</v>
      </c>
      <c r="C133" s="187" t="s">
        <v>683</v>
      </c>
      <c r="D133" s="187" t="s">
        <v>851</v>
      </c>
      <c r="E133" s="187" t="s">
        <v>85</v>
      </c>
      <c r="F133" s="188"/>
      <c r="G133" s="18"/>
      <c r="H133" s="18">
        <v>3200</v>
      </c>
      <c r="I133" s="189"/>
      <c r="J133" s="189">
        <f>3200-H133</f>
        <v>0</v>
      </c>
      <c r="K133" s="189">
        <f t="shared" si="9"/>
        <v>0</v>
      </c>
      <c r="L133" s="190" t="s">
        <v>551</v>
      </c>
    </row>
    <row r="134" spans="1:12" s="180" customFormat="1" ht="8.65" customHeight="1" x14ac:dyDescent="0.15">
      <c r="A134" s="187" t="s">
        <v>664</v>
      </c>
      <c r="B134" s="187" t="s">
        <v>803</v>
      </c>
      <c r="C134" s="187" t="s">
        <v>683</v>
      </c>
      <c r="D134" s="187" t="s">
        <v>869</v>
      </c>
      <c r="E134" s="187" t="s">
        <v>85</v>
      </c>
      <c r="F134" s="188"/>
      <c r="G134" s="18"/>
      <c r="H134" s="18">
        <v>19950</v>
      </c>
      <c r="I134" s="189"/>
      <c r="J134" s="189">
        <f>19950-H134</f>
        <v>0</v>
      </c>
      <c r="K134" s="189">
        <f t="shared" si="9"/>
        <v>0</v>
      </c>
      <c r="L134" s="190" t="s">
        <v>551</v>
      </c>
    </row>
    <row r="135" spans="1:12" s="180" customFormat="1" ht="8.65" customHeight="1" x14ac:dyDescent="0.15">
      <c r="A135" s="187" t="s">
        <v>664</v>
      </c>
      <c r="B135" s="187" t="s">
        <v>870</v>
      </c>
      <c r="C135" s="187" t="s">
        <v>683</v>
      </c>
      <c r="D135" s="187" t="s">
        <v>871</v>
      </c>
      <c r="E135" s="187" t="s">
        <v>85</v>
      </c>
      <c r="F135" s="188"/>
      <c r="G135" s="18"/>
      <c r="H135" s="18">
        <v>5000</v>
      </c>
      <c r="I135" s="189"/>
      <c r="J135" s="189">
        <f>5000-H135</f>
        <v>0</v>
      </c>
      <c r="K135" s="189">
        <f t="shared" si="9"/>
        <v>0</v>
      </c>
      <c r="L135" s="190" t="s">
        <v>551</v>
      </c>
    </row>
    <row r="136" spans="1:12" s="180" customFormat="1" ht="8.65" customHeight="1" x14ac:dyDescent="0.15">
      <c r="A136" s="187" t="s">
        <v>664</v>
      </c>
      <c r="B136" s="187" t="s">
        <v>742</v>
      </c>
      <c r="C136" s="187" t="s">
        <v>683</v>
      </c>
      <c r="D136" s="187" t="s">
        <v>743</v>
      </c>
      <c r="E136" s="187" t="s">
        <v>85</v>
      </c>
      <c r="F136" s="188"/>
      <c r="G136" s="18"/>
      <c r="H136" s="18">
        <v>53800</v>
      </c>
      <c r="I136" s="189"/>
      <c r="J136" s="189">
        <f>53800-H136</f>
        <v>0</v>
      </c>
      <c r="K136" s="189">
        <f t="shared" si="9"/>
        <v>0</v>
      </c>
      <c r="L136" s="190" t="s">
        <v>551</v>
      </c>
    </row>
    <row r="137" spans="1:12" s="180" customFormat="1" ht="8.65" customHeight="1" x14ac:dyDescent="0.15">
      <c r="A137" s="187" t="s">
        <v>664</v>
      </c>
      <c r="B137" s="187" t="s">
        <v>744</v>
      </c>
      <c r="C137" s="187" t="s">
        <v>683</v>
      </c>
      <c r="D137" s="187" t="s">
        <v>745</v>
      </c>
      <c r="E137" s="187" t="s">
        <v>85</v>
      </c>
      <c r="F137" s="188"/>
      <c r="G137" s="18"/>
      <c r="H137" s="18">
        <v>26900</v>
      </c>
      <c r="I137" s="189"/>
      <c r="J137" s="189">
        <f>26900-H137</f>
        <v>0</v>
      </c>
      <c r="K137" s="189">
        <f t="shared" si="9"/>
        <v>0</v>
      </c>
      <c r="L137" s="190" t="s">
        <v>551</v>
      </c>
    </row>
    <row r="138" spans="1:12" s="180" customFormat="1" ht="8.65" customHeight="1" x14ac:dyDescent="0.15">
      <c r="A138" s="187" t="s">
        <v>664</v>
      </c>
      <c r="B138" s="187" t="s">
        <v>852</v>
      </c>
      <c r="C138" s="187" t="s">
        <v>683</v>
      </c>
      <c r="D138" s="187" t="s">
        <v>853</v>
      </c>
      <c r="E138" s="187" t="s">
        <v>85</v>
      </c>
      <c r="F138" s="188"/>
      <c r="G138" s="18"/>
      <c r="H138" s="18">
        <v>40350</v>
      </c>
      <c r="I138" s="189"/>
      <c r="J138" s="189">
        <f>40350-H138</f>
        <v>0</v>
      </c>
      <c r="K138" s="189">
        <f t="shared" si="9"/>
        <v>0</v>
      </c>
      <c r="L138" s="190" t="s">
        <v>551</v>
      </c>
    </row>
    <row r="139" spans="1:12" s="180" customFormat="1" ht="8.65" customHeight="1" x14ac:dyDescent="0.15">
      <c r="A139" s="187" t="s">
        <v>664</v>
      </c>
      <c r="B139" s="187" t="s">
        <v>854</v>
      </c>
      <c r="C139" s="187" t="s">
        <v>683</v>
      </c>
      <c r="D139" s="187" t="s">
        <v>855</v>
      </c>
      <c r="E139" s="187" t="s">
        <v>85</v>
      </c>
      <c r="F139" s="188"/>
      <c r="G139" s="18"/>
      <c r="H139" s="18">
        <v>13400</v>
      </c>
      <c r="I139" s="189"/>
      <c r="J139" s="189">
        <f>13400-H139</f>
        <v>0</v>
      </c>
      <c r="K139" s="189">
        <f t="shared" si="9"/>
        <v>0</v>
      </c>
      <c r="L139" s="190" t="s">
        <v>551</v>
      </c>
    </row>
    <row r="140" spans="1:12" s="180" customFormat="1" ht="8.65" customHeight="1" x14ac:dyDescent="0.15">
      <c r="A140" s="187" t="s">
        <v>664</v>
      </c>
      <c r="B140" s="187" t="s">
        <v>702</v>
      </c>
      <c r="C140" s="187" t="s">
        <v>666</v>
      </c>
      <c r="D140" s="187" t="s">
        <v>872</v>
      </c>
      <c r="E140" s="187" t="s">
        <v>85</v>
      </c>
      <c r="F140" s="188"/>
      <c r="G140" s="18"/>
      <c r="H140" s="18">
        <v>247800</v>
      </c>
      <c r="I140" s="189"/>
      <c r="J140" s="189">
        <f>247800-H140</f>
        <v>0</v>
      </c>
      <c r="K140" s="189">
        <f t="shared" si="9"/>
        <v>0</v>
      </c>
      <c r="L140" s="190" t="s">
        <v>551</v>
      </c>
    </row>
    <row r="141" spans="1:12" s="180" customFormat="1" ht="8.65" customHeight="1" x14ac:dyDescent="0.15">
      <c r="A141" s="187" t="s">
        <v>664</v>
      </c>
      <c r="B141" s="187" t="s">
        <v>873</v>
      </c>
      <c r="C141" s="187" t="s">
        <v>666</v>
      </c>
      <c r="D141" s="187" t="s">
        <v>874</v>
      </c>
      <c r="E141" s="187" t="s">
        <v>85</v>
      </c>
      <c r="F141" s="188"/>
      <c r="G141" s="18"/>
      <c r="H141" s="18">
        <v>16800</v>
      </c>
      <c r="I141" s="189"/>
      <c r="J141" s="189">
        <f>16800-H141</f>
        <v>0</v>
      </c>
      <c r="K141" s="189">
        <f t="shared" si="9"/>
        <v>0</v>
      </c>
      <c r="L141" s="190" t="s">
        <v>551</v>
      </c>
    </row>
    <row r="142" spans="1:12" s="180" customFormat="1" ht="8.65" customHeight="1" x14ac:dyDescent="0.15">
      <c r="A142" s="187" t="s">
        <v>664</v>
      </c>
      <c r="B142" s="187" t="s">
        <v>875</v>
      </c>
      <c r="C142" s="187" t="s">
        <v>683</v>
      </c>
      <c r="D142" s="187" t="s">
        <v>876</v>
      </c>
      <c r="E142" s="187" t="s">
        <v>85</v>
      </c>
      <c r="F142" s="188"/>
      <c r="G142" s="18"/>
      <c r="H142" s="18">
        <v>4400</v>
      </c>
      <c r="I142" s="189"/>
      <c r="J142" s="189">
        <f>4400-H142</f>
        <v>0</v>
      </c>
      <c r="K142" s="189">
        <f t="shared" si="9"/>
        <v>0</v>
      </c>
      <c r="L142" s="190" t="s">
        <v>551</v>
      </c>
    </row>
    <row r="143" spans="1:12" s="180" customFormat="1" ht="8.65" customHeight="1" x14ac:dyDescent="0.15">
      <c r="A143" s="187" t="s">
        <v>664</v>
      </c>
      <c r="B143" s="187" t="s">
        <v>822</v>
      </c>
      <c r="C143" s="187" t="s">
        <v>683</v>
      </c>
      <c r="D143" s="187" t="s">
        <v>877</v>
      </c>
      <c r="E143" s="187" t="s">
        <v>85</v>
      </c>
      <c r="F143" s="188"/>
      <c r="G143" s="18"/>
      <c r="H143" s="18">
        <v>22250</v>
      </c>
      <c r="I143" s="189"/>
      <c r="J143" s="189">
        <f>22250-H143</f>
        <v>0</v>
      </c>
      <c r="K143" s="189">
        <f t="shared" si="9"/>
        <v>0</v>
      </c>
      <c r="L143" s="190" t="s">
        <v>551</v>
      </c>
    </row>
    <row r="144" spans="1:12" s="180" customFormat="1" ht="8.65" customHeight="1" x14ac:dyDescent="0.15">
      <c r="A144" s="187" t="s">
        <v>664</v>
      </c>
      <c r="B144" s="187" t="s">
        <v>824</v>
      </c>
      <c r="C144" s="187" t="s">
        <v>683</v>
      </c>
      <c r="D144" s="187" t="s">
        <v>825</v>
      </c>
      <c r="E144" s="187" t="s">
        <v>85</v>
      </c>
      <c r="F144" s="188"/>
      <c r="G144" s="18"/>
      <c r="H144" s="18">
        <v>132000</v>
      </c>
      <c r="I144" s="189"/>
      <c r="J144" s="189">
        <f>132000-H144</f>
        <v>0</v>
      </c>
      <c r="K144" s="189">
        <f t="shared" si="9"/>
        <v>0</v>
      </c>
      <c r="L144" s="190" t="s">
        <v>551</v>
      </c>
    </row>
    <row r="145" spans="1:15" s="180" customFormat="1" ht="9" customHeight="1" x14ac:dyDescent="0.15">
      <c r="A145" s="270" t="s">
        <v>86</v>
      </c>
      <c r="B145" s="270"/>
      <c r="C145" s="270"/>
      <c r="D145" s="270"/>
      <c r="E145" s="270"/>
      <c r="F145" s="270"/>
      <c r="G145" s="191"/>
      <c r="H145" s="191"/>
      <c r="I145" s="192"/>
      <c r="J145" s="192">
        <f>SUM(J125:J144)</f>
        <v>34105</v>
      </c>
      <c r="K145" s="192">
        <f>SUM(K125:K144)</f>
        <v>34105</v>
      </c>
      <c r="L145" s="201"/>
    </row>
    <row r="146" spans="1:15" s="210" customFormat="1" ht="3.6" customHeight="1" x14ac:dyDescent="0.2">
      <c r="A146" s="207"/>
      <c r="B146" s="207"/>
      <c r="C146" s="207"/>
      <c r="D146" s="207"/>
      <c r="E146" s="207"/>
      <c r="F146" s="207"/>
      <c r="G146" s="207"/>
      <c r="H146" s="208"/>
      <c r="I146" s="209"/>
      <c r="J146" s="209"/>
      <c r="K146" s="209"/>
      <c r="L146" s="207"/>
      <c r="M146" s="207"/>
      <c r="N146" s="207"/>
      <c r="O146" s="207"/>
    </row>
    <row r="147" spans="1:15" s="210" customFormat="1" ht="11.45" customHeight="1" x14ac:dyDescent="0.15">
      <c r="A147" s="187" t="s">
        <v>664</v>
      </c>
      <c r="B147" s="187" t="s">
        <v>760</v>
      </c>
      <c r="C147" s="187" t="s">
        <v>666</v>
      </c>
      <c r="D147" s="187" t="s">
        <v>878</v>
      </c>
      <c r="E147" s="187" t="s">
        <v>89</v>
      </c>
      <c r="F147" s="187" t="s">
        <v>90</v>
      </c>
      <c r="G147" s="18"/>
      <c r="H147" s="18">
        <f>20104+9896</f>
        <v>30000</v>
      </c>
      <c r="I147" s="189"/>
      <c r="J147" s="189">
        <f>30000-H147</f>
        <v>0</v>
      </c>
      <c r="K147" s="189">
        <f t="shared" ref="K147:K156" si="10">+J147-I147</f>
        <v>0</v>
      </c>
      <c r="L147" s="190" t="s">
        <v>551</v>
      </c>
    </row>
    <row r="148" spans="1:15" s="210" customFormat="1" ht="11.45" customHeight="1" x14ac:dyDescent="0.15">
      <c r="A148" s="187" t="s">
        <v>664</v>
      </c>
      <c r="B148" s="187" t="s">
        <v>665</v>
      </c>
      <c r="C148" s="187" t="s">
        <v>666</v>
      </c>
      <c r="D148" s="187" t="s">
        <v>667</v>
      </c>
      <c r="E148" s="187" t="s">
        <v>89</v>
      </c>
      <c r="F148" s="188"/>
      <c r="G148" s="18"/>
      <c r="H148" s="18">
        <v>93820</v>
      </c>
      <c r="I148" s="189"/>
      <c r="J148" s="189">
        <f>140000-H148</f>
        <v>46180</v>
      </c>
      <c r="K148" s="189">
        <f t="shared" si="10"/>
        <v>46180</v>
      </c>
      <c r="L148" s="190" t="s">
        <v>551</v>
      </c>
    </row>
    <row r="149" spans="1:15" s="210" customFormat="1" ht="8.65" customHeight="1" x14ac:dyDescent="0.15">
      <c r="A149" s="187" t="s">
        <v>664</v>
      </c>
      <c r="B149" s="187" t="s">
        <v>670</v>
      </c>
      <c r="C149" s="187" t="s">
        <v>666</v>
      </c>
      <c r="D149" s="187" t="s">
        <v>671</v>
      </c>
      <c r="E149" s="187" t="s">
        <v>89</v>
      </c>
      <c r="F149" s="188"/>
      <c r="G149" s="18"/>
      <c r="H149" s="18">
        <v>16754</v>
      </c>
      <c r="I149" s="189"/>
      <c r="J149" s="189">
        <f>25000-H149</f>
        <v>8246</v>
      </c>
      <c r="K149" s="189">
        <f t="shared" si="10"/>
        <v>8246</v>
      </c>
      <c r="L149" s="190" t="s">
        <v>551</v>
      </c>
    </row>
    <row r="150" spans="1:15" s="210" customFormat="1" ht="8.65" customHeight="1" x14ac:dyDescent="0.15">
      <c r="A150" s="187" t="s">
        <v>664</v>
      </c>
      <c r="B150" s="187" t="s">
        <v>678</v>
      </c>
      <c r="C150" s="187" t="s">
        <v>676</v>
      </c>
      <c r="D150" s="187" t="s">
        <v>679</v>
      </c>
      <c r="E150" s="187" t="s">
        <v>89</v>
      </c>
      <c r="F150" s="188"/>
      <c r="G150" s="18"/>
      <c r="H150" s="18">
        <v>3802</v>
      </c>
      <c r="I150" s="189">
        <v>3053.73</v>
      </c>
      <c r="J150" s="189">
        <f>7200-H150</f>
        <v>3398</v>
      </c>
      <c r="K150" s="189">
        <f t="shared" si="10"/>
        <v>344.27</v>
      </c>
      <c r="L150" s="190" t="s">
        <v>551</v>
      </c>
    </row>
    <row r="151" spans="1:15" s="210" customFormat="1" ht="8.65" customHeight="1" x14ac:dyDescent="0.15">
      <c r="A151" s="187" t="s">
        <v>664</v>
      </c>
      <c r="B151" s="187" t="s">
        <v>680</v>
      </c>
      <c r="C151" s="187" t="s">
        <v>676</v>
      </c>
      <c r="D151" s="187" t="s">
        <v>681</v>
      </c>
      <c r="E151" s="187" t="s">
        <v>89</v>
      </c>
      <c r="F151" s="188"/>
      <c r="G151" s="18"/>
      <c r="H151" s="18">
        <v>7922</v>
      </c>
      <c r="I151" s="189">
        <v>6786.11</v>
      </c>
      <c r="J151" s="189">
        <f>15000-H151</f>
        <v>7078</v>
      </c>
      <c r="K151" s="189">
        <f t="shared" si="10"/>
        <v>291.89000000000033</v>
      </c>
      <c r="L151" s="190" t="s">
        <v>551</v>
      </c>
    </row>
    <row r="152" spans="1:15" s="210" customFormat="1" ht="8.65" customHeight="1" x14ac:dyDescent="0.15">
      <c r="A152" s="187" t="s">
        <v>664</v>
      </c>
      <c r="B152" s="187" t="s">
        <v>771</v>
      </c>
      <c r="C152" s="187" t="s">
        <v>683</v>
      </c>
      <c r="D152" s="187" t="s">
        <v>772</v>
      </c>
      <c r="E152" s="187" t="s">
        <v>89</v>
      </c>
      <c r="F152" s="188"/>
      <c r="G152" s="18"/>
      <c r="H152" s="18">
        <v>8286</v>
      </c>
      <c r="I152" s="189"/>
      <c r="J152" s="189">
        <f>8286-H152</f>
        <v>0</v>
      </c>
      <c r="K152" s="189">
        <f t="shared" si="10"/>
        <v>0</v>
      </c>
      <c r="L152" s="190" t="s">
        <v>551</v>
      </c>
    </row>
    <row r="153" spans="1:15" s="210" customFormat="1" ht="8.65" customHeight="1" x14ac:dyDescent="0.15">
      <c r="A153" s="187" t="s">
        <v>664</v>
      </c>
      <c r="B153" s="187" t="s">
        <v>682</v>
      </c>
      <c r="C153" s="187" t="s">
        <v>683</v>
      </c>
      <c r="D153" s="187" t="s">
        <v>684</v>
      </c>
      <c r="E153" s="187" t="s">
        <v>89</v>
      </c>
      <c r="F153" s="188"/>
      <c r="G153" s="18"/>
      <c r="H153" s="18">
        <v>5524</v>
      </c>
      <c r="I153" s="189"/>
      <c r="J153" s="189">
        <f>5524-H153</f>
        <v>0</v>
      </c>
      <c r="K153" s="189">
        <f t="shared" si="10"/>
        <v>0</v>
      </c>
      <c r="L153" s="190" t="s">
        <v>551</v>
      </c>
    </row>
    <row r="154" spans="1:15" s="210" customFormat="1" ht="8.65" customHeight="1" x14ac:dyDescent="0.15">
      <c r="A154" s="187" t="s">
        <v>664</v>
      </c>
      <c r="B154" s="187" t="s">
        <v>879</v>
      </c>
      <c r="C154" s="187" t="s">
        <v>683</v>
      </c>
      <c r="D154" s="187" t="s">
        <v>880</v>
      </c>
      <c r="E154" s="187" t="s">
        <v>89</v>
      </c>
      <c r="F154" s="188"/>
      <c r="G154" s="18"/>
      <c r="H154" s="18">
        <v>1250</v>
      </c>
      <c r="I154" s="189"/>
      <c r="J154" s="189">
        <f>1250-H154</f>
        <v>0</v>
      </c>
      <c r="K154" s="189">
        <f t="shared" si="10"/>
        <v>0</v>
      </c>
      <c r="L154" s="190" t="s">
        <v>551</v>
      </c>
    </row>
    <row r="155" spans="1:15" s="210" customFormat="1" ht="8.65" customHeight="1" x14ac:dyDescent="0.15">
      <c r="A155" s="187" t="s">
        <v>664</v>
      </c>
      <c r="B155" s="187" t="s">
        <v>881</v>
      </c>
      <c r="C155" s="187" t="s">
        <v>666</v>
      </c>
      <c r="D155" s="187" t="s">
        <v>882</v>
      </c>
      <c r="E155" s="187" t="s">
        <v>89</v>
      </c>
      <c r="F155" s="188"/>
      <c r="G155" s="18"/>
      <c r="H155" s="18">
        <v>5361</v>
      </c>
      <c r="I155" s="189"/>
      <c r="J155" s="189">
        <f>8000-H155</f>
        <v>2639</v>
      </c>
      <c r="K155" s="189">
        <f t="shared" si="10"/>
        <v>2639</v>
      </c>
      <c r="L155" s="190" t="s">
        <v>551</v>
      </c>
    </row>
    <row r="156" spans="1:15" s="210" customFormat="1" ht="8.65" customHeight="1" x14ac:dyDescent="0.15">
      <c r="A156" s="187" t="s">
        <v>664</v>
      </c>
      <c r="B156" s="187" t="s">
        <v>883</v>
      </c>
      <c r="C156" s="187" t="s">
        <v>666</v>
      </c>
      <c r="D156" s="187" t="s">
        <v>884</v>
      </c>
      <c r="E156" s="187" t="s">
        <v>89</v>
      </c>
      <c r="F156" s="188"/>
      <c r="G156" s="18"/>
      <c r="H156" s="18">
        <v>117275</v>
      </c>
      <c r="I156" s="189"/>
      <c r="J156" s="189">
        <f>175000-H156</f>
        <v>57725</v>
      </c>
      <c r="K156" s="189">
        <f t="shared" si="10"/>
        <v>57725</v>
      </c>
      <c r="L156" s="190" t="s">
        <v>551</v>
      </c>
    </row>
    <row r="157" spans="1:15" s="210" customFormat="1" ht="8.65" customHeight="1" x14ac:dyDescent="0.15">
      <c r="A157" s="187" t="s">
        <v>664</v>
      </c>
      <c r="B157" s="187" t="s">
        <v>842</v>
      </c>
      <c r="C157" s="187" t="s">
        <v>683</v>
      </c>
      <c r="D157" s="187" t="s">
        <v>885</v>
      </c>
      <c r="E157" s="187" t="s">
        <v>89</v>
      </c>
      <c r="F157" s="188"/>
      <c r="G157" s="18"/>
      <c r="H157" s="18">
        <v>140000</v>
      </c>
      <c r="I157" s="189"/>
      <c r="J157" s="189">
        <f>140000-H157</f>
        <v>0</v>
      </c>
      <c r="K157" s="189">
        <f>+J157+I157</f>
        <v>0</v>
      </c>
      <c r="L157" s="190" t="s">
        <v>551</v>
      </c>
    </row>
    <row r="158" spans="1:15" s="210" customFormat="1" ht="8.65" customHeight="1" x14ac:dyDescent="0.15">
      <c r="A158" s="187" t="s">
        <v>664</v>
      </c>
      <c r="B158" s="187" t="s">
        <v>886</v>
      </c>
      <c r="C158" s="187" t="s">
        <v>769</v>
      </c>
      <c r="D158" s="187" t="s">
        <v>887</v>
      </c>
      <c r="E158" s="187" t="s">
        <v>89</v>
      </c>
      <c r="F158" s="188"/>
      <c r="G158" s="18"/>
      <c r="H158" s="18">
        <f>34121+55000</f>
        <v>89121</v>
      </c>
      <c r="I158" s="189"/>
      <c r="J158" s="189">
        <f>196500-H158</f>
        <v>107379</v>
      </c>
      <c r="K158" s="189">
        <f>+J158-I158</f>
        <v>107379</v>
      </c>
      <c r="L158" s="190" t="s">
        <v>551</v>
      </c>
    </row>
    <row r="159" spans="1:15" s="210" customFormat="1" ht="8.65" customHeight="1" x14ac:dyDescent="0.15">
      <c r="A159" s="187" t="s">
        <v>664</v>
      </c>
      <c r="B159" s="187" t="s">
        <v>888</v>
      </c>
      <c r="C159" s="187" t="s">
        <v>769</v>
      </c>
      <c r="D159" s="187" t="s">
        <v>889</v>
      </c>
      <c r="E159" s="187" t="s">
        <v>89</v>
      </c>
      <c r="F159" s="188"/>
      <c r="G159" s="18">
        <v>35864</v>
      </c>
      <c r="H159" s="18"/>
      <c r="I159" s="189"/>
      <c r="J159" s="189">
        <f>306000+G159</f>
        <v>341864</v>
      </c>
      <c r="K159" s="189">
        <f>+J159-I159</f>
        <v>341864</v>
      </c>
      <c r="L159" s="190" t="s">
        <v>551</v>
      </c>
    </row>
    <row r="160" spans="1:15" s="210" customFormat="1" ht="8.65" customHeight="1" x14ac:dyDescent="0.15">
      <c r="A160" s="187" t="s">
        <v>664</v>
      </c>
      <c r="B160" s="187" t="s">
        <v>890</v>
      </c>
      <c r="C160" s="187" t="s">
        <v>769</v>
      </c>
      <c r="D160" s="187" t="s">
        <v>891</v>
      </c>
      <c r="E160" s="187" t="s">
        <v>89</v>
      </c>
      <c r="F160" s="188"/>
      <c r="G160" s="18"/>
      <c r="H160" s="18">
        <f>34121+55000</f>
        <v>89121</v>
      </c>
      <c r="I160" s="189"/>
      <c r="J160" s="189">
        <f>196500-H160</f>
        <v>107379</v>
      </c>
      <c r="K160" s="189">
        <f>+J160-I160</f>
        <v>107379</v>
      </c>
      <c r="L160" s="190" t="s">
        <v>551</v>
      </c>
    </row>
    <row r="161" spans="1:13" s="210" customFormat="1" ht="8.65" customHeight="1" x14ac:dyDescent="0.15">
      <c r="A161" s="187" t="s">
        <v>664</v>
      </c>
      <c r="B161" s="187" t="s">
        <v>892</v>
      </c>
      <c r="C161" s="187" t="s">
        <v>769</v>
      </c>
      <c r="D161" s="187" t="s">
        <v>893</v>
      </c>
      <c r="E161" s="187" t="s">
        <v>89</v>
      </c>
      <c r="F161" s="188"/>
      <c r="G161" s="18"/>
      <c r="H161" s="18">
        <v>89121</v>
      </c>
      <c r="I161" s="189"/>
      <c r="J161" s="189">
        <f>196500-H161</f>
        <v>107379</v>
      </c>
      <c r="K161" s="189">
        <f>+J161-I161</f>
        <v>107379</v>
      </c>
      <c r="L161" s="190" t="s">
        <v>551</v>
      </c>
    </row>
    <row r="162" spans="1:13" s="210" customFormat="1" ht="8.65" customHeight="1" x14ac:dyDescent="0.15">
      <c r="A162" s="187" t="s">
        <v>664</v>
      </c>
      <c r="B162" s="187" t="s">
        <v>894</v>
      </c>
      <c r="C162" s="187" t="s">
        <v>666</v>
      </c>
      <c r="D162" s="187" t="s">
        <v>895</v>
      </c>
      <c r="E162" s="187" t="s">
        <v>89</v>
      </c>
      <c r="F162" s="188"/>
      <c r="G162" s="18"/>
      <c r="H162" s="18">
        <v>8377</v>
      </c>
      <c r="I162" s="189"/>
      <c r="J162" s="189">
        <f>12500-H162</f>
        <v>4123</v>
      </c>
      <c r="K162" s="189">
        <f>+J162-I162</f>
        <v>4123</v>
      </c>
      <c r="L162" s="190" t="s">
        <v>551</v>
      </c>
    </row>
    <row r="163" spans="1:13" s="210" customFormat="1" ht="8.65" customHeight="1" x14ac:dyDescent="0.15">
      <c r="A163" s="187" t="s">
        <v>664</v>
      </c>
      <c r="B163" s="187" t="s">
        <v>799</v>
      </c>
      <c r="C163" s="187" t="s">
        <v>666</v>
      </c>
      <c r="D163" s="187" t="s">
        <v>800</v>
      </c>
      <c r="E163" s="187" t="s">
        <v>89</v>
      </c>
      <c r="F163" s="188"/>
      <c r="G163" s="18"/>
      <c r="H163" s="18"/>
      <c r="I163" s="189"/>
      <c r="J163" s="189">
        <v>0</v>
      </c>
      <c r="K163" s="189">
        <f t="shared" ref="K163" si="11">+J163-H163</f>
        <v>0</v>
      </c>
      <c r="L163" s="190" t="s">
        <v>551</v>
      </c>
    </row>
    <row r="164" spans="1:13" s="210" customFormat="1" ht="8.65" customHeight="1" x14ac:dyDescent="0.15">
      <c r="A164" s="187" t="s">
        <v>664</v>
      </c>
      <c r="B164" s="187" t="s">
        <v>742</v>
      </c>
      <c r="C164" s="187" t="s">
        <v>683</v>
      </c>
      <c r="D164" s="187" t="s">
        <v>743</v>
      </c>
      <c r="E164" s="187" t="s">
        <v>89</v>
      </c>
      <c r="F164" s="188"/>
      <c r="G164" s="18"/>
      <c r="H164" s="18">
        <v>1834</v>
      </c>
      <c r="I164" s="189"/>
      <c r="J164" s="189">
        <f>1834-H164</f>
        <v>0</v>
      </c>
      <c r="K164" s="189">
        <f t="shared" ref="K164:K171" si="12">+J164-I164</f>
        <v>0</v>
      </c>
      <c r="L164" s="190" t="s">
        <v>551</v>
      </c>
    </row>
    <row r="165" spans="1:13" s="210" customFormat="1" ht="8.65" customHeight="1" x14ac:dyDescent="0.15">
      <c r="A165" s="187" t="s">
        <v>664</v>
      </c>
      <c r="B165" s="187" t="s">
        <v>744</v>
      </c>
      <c r="C165" s="187" t="s">
        <v>683</v>
      </c>
      <c r="D165" s="187" t="s">
        <v>745</v>
      </c>
      <c r="E165" s="187" t="s">
        <v>89</v>
      </c>
      <c r="F165" s="188"/>
      <c r="G165" s="18"/>
      <c r="H165" s="18">
        <v>1834</v>
      </c>
      <c r="I165" s="189"/>
      <c r="J165" s="189">
        <f>1834-H165</f>
        <v>0</v>
      </c>
      <c r="K165" s="189">
        <f t="shared" si="12"/>
        <v>0</v>
      </c>
      <c r="L165" s="190" t="s">
        <v>551</v>
      </c>
    </row>
    <row r="166" spans="1:13" s="210" customFormat="1" ht="8.65" customHeight="1" x14ac:dyDescent="0.15">
      <c r="A166" s="187" t="s">
        <v>664</v>
      </c>
      <c r="B166" s="187" t="s">
        <v>896</v>
      </c>
      <c r="C166" s="187" t="s">
        <v>666</v>
      </c>
      <c r="D166" s="187" t="s">
        <v>897</v>
      </c>
      <c r="E166" s="187" t="s">
        <v>89</v>
      </c>
      <c r="F166" s="188"/>
      <c r="G166" s="18"/>
      <c r="H166" s="18">
        <v>178258</v>
      </c>
      <c r="I166" s="189"/>
      <c r="J166" s="189">
        <f>266000-H166</f>
        <v>87742</v>
      </c>
      <c r="K166" s="189">
        <f t="shared" si="12"/>
        <v>87742</v>
      </c>
      <c r="L166" s="190" t="s">
        <v>551</v>
      </c>
    </row>
    <row r="167" spans="1:13" s="210" customFormat="1" ht="8.65" customHeight="1" x14ac:dyDescent="0.15">
      <c r="A167" s="187" t="s">
        <v>664</v>
      </c>
      <c r="B167" s="187" t="s">
        <v>750</v>
      </c>
      <c r="C167" s="187" t="s">
        <v>666</v>
      </c>
      <c r="D167" s="187" t="s">
        <v>898</v>
      </c>
      <c r="E167" s="187" t="s">
        <v>89</v>
      </c>
      <c r="F167" s="188"/>
      <c r="G167" s="18"/>
      <c r="H167" s="18">
        <v>46910</v>
      </c>
      <c r="I167" s="189"/>
      <c r="J167" s="189">
        <f>70000-H167</f>
        <v>23090</v>
      </c>
      <c r="K167" s="189">
        <f t="shared" si="12"/>
        <v>23090</v>
      </c>
      <c r="L167" s="190" t="s">
        <v>551</v>
      </c>
    </row>
    <row r="168" spans="1:13" s="210" customFormat="1" ht="8.65" customHeight="1" x14ac:dyDescent="0.15">
      <c r="A168" s="187" t="s">
        <v>664</v>
      </c>
      <c r="B168" s="187" t="s">
        <v>826</v>
      </c>
      <c r="C168" s="187" t="s">
        <v>683</v>
      </c>
      <c r="D168" s="187" t="s">
        <v>827</v>
      </c>
      <c r="E168" s="187" t="s">
        <v>89</v>
      </c>
      <c r="F168" s="188"/>
      <c r="G168" s="18"/>
      <c r="H168" s="18">
        <v>20000</v>
      </c>
      <c r="I168" s="189"/>
      <c r="J168" s="189">
        <f>20000-H168</f>
        <v>0</v>
      </c>
      <c r="K168" s="189">
        <f t="shared" si="12"/>
        <v>0</v>
      </c>
      <c r="L168" s="190" t="s">
        <v>551</v>
      </c>
    </row>
    <row r="169" spans="1:13" s="210" customFormat="1" ht="8.65" customHeight="1" x14ac:dyDescent="0.15">
      <c r="A169" s="187" t="s">
        <v>664</v>
      </c>
      <c r="B169" s="187" t="s">
        <v>899</v>
      </c>
      <c r="C169" s="187" t="s">
        <v>714</v>
      </c>
      <c r="D169" s="187" t="s">
        <v>900</v>
      </c>
      <c r="E169" s="187" t="s">
        <v>89</v>
      </c>
      <c r="F169" s="188"/>
      <c r="G169" s="18"/>
      <c r="H169" s="18"/>
      <c r="I169" s="189">
        <f>54886.54+4308.42</f>
        <v>59194.96</v>
      </c>
      <c r="J169" s="189">
        <v>60000</v>
      </c>
      <c r="K169" s="189">
        <f t="shared" si="12"/>
        <v>805.04000000000087</v>
      </c>
      <c r="L169" s="190" t="s">
        <v>551</v>
      </c>
    </row>
    <row r="170" spans="1:13" s="210" customFormat="1" ht="8.65" customHeight="1" x14ac:dyDescent="0.15">
      <c r="A170" s="187" t="s">
        <v>664</v>
      </c>
      <c r="B170" s="187" t="s">
        <v>901</v>
      </c>
      <c r="C170" s="187" t="s">
        <v>666</v>
      </c>
      <c r="D170" s="187" t="s">
        <v>902</v>
      </c>
      <c r="E170" s="187" t="s">
        <v>89</v>
      </c>
      <c r="F170" s="188"/>
      <c r="G170" s="18">
        <v>19920</v>
      </c>
      <c r="H170" s="18"/>
      <c r="I170" s="189">
        <v>94920</v>
      </c>
      <c r="J170" s="189">
        <f>75000+G170</f>
        <v>94920</v>
      </c>
      <c r="K170" s="189">
        <f t="shared" si="12"/>
        <v>0</v>
      </c>
      <c r="L170" s="190" t="s">
        <v>551</v>
      </c>
    </row>
    <row r="171" spans="1:13" s="210" customFormat="1" ht="8.65" customHeight="1" x14ac:dyDescent="0.15">
      <c r="A171" s="187" t="s">
        <v>664</v>
      </c>
      <c r="B171" s="187" t="s">
        <v>901</v>
      </c>
      <c r="C171" s="187" t="s">
        <v>666</v>
      </c>
      <c r="D171" s="187" t="s">
        <v>903</v>
      </c>
      <c r="E171" s="187" t="s">
        <v>89</v>
      </c>
      <c r="F171" s="188"/>
      <c r="G171" s="18"/>
      <c r="H171" s="18">
        <v>27393</v>
      </c>
      <c r="I171" s="189">
        <v>162607</v>
      </c>
      <c r="J171" s="189">
        <f>190000-H171</f>
        <v>162607</v>
      </c>
      <c r="K171" s="189">
        <f t="shared" si="12"/>
        <v>0</v>
      </c>
      <c r="L171" s="190" t="s">
        <v>551</v>
      </c>
    </row>
    <row r="172" spans="1:13" s="210" customFormat="1" ht="10.15" customHeight="1" x14ac:dyDescent="0.15">
      <c r="A172" s="270" t="s">
        <v>114</v>
      </c>
      <c r="B172" s="270"/>
      <c r="C172" s="270"/>
      <c r="D172" s="270"/>
      <c r="E172" s="270"/>
      <c r="F172" s="270"/>
      <c r="G172" s="191"/>
      <c r="H172" s="191"/>
      <c r="I172" s="192">
        <f>SUM(I147:I171)</f>
        <v>326561.8</v>
      </c>
      <c r="J172" s="192">
        <f>SUM(J147:J171)</f>
        <v>1221749</v>
      </c>
      <c r="K172" s="192">
        <f>SUM(K147:K171)</f>
        <v>895187.20000000007</v>
      </c>
      <c r="L172" s="201"/>
    </row>
    <row r="173" spans="1:13" s="180" customFormat="1" ht="5.45" customHeight="1" x14ac:dyDescent="0.2">
      <c r="A173" s="197"/>
      <c r="B173" s="197"/>
      <c r="C173" s="197"/>
      <c r="D173" s="197"/>
      <c r="E173" s="197"/>
      <c r="F173" s="197"/>
      <c r="G173" s="197"/>
      <c r="H173" s="198"/>
      <c r="I173" s="199"/>
      <c r="J173" s="199"/>
      <c r="K173" s="199"/>
      <c r="L173" s="197"/>
      <c r="M173" s="197"/>
    </row>
    <row r="174" spans="1:13" s="180" customFormat="1" ht="8.65" customHeight="1" x14ac:dyDescent="0.15">
      <c r="A174" s="187" t="s">
        <v>664</v>
      </c>
      <c r="B174" s="187" t="s">
        <v>665</v>
      </c>
      <c r="C174" s="187" t="s">
        <v>666</v>
      </c>
      <c r="D174" s="187" t="s">
        <v>667</v>
      </c>
      <c r="E174" s="187" t="s">
        <v>117</v>
      </c>
      <c r="F174" s="187" t="s">
        <v>118</v>
      </c>
      <c r="G174" s="18"/>
      <c r="H174" s="18">
        <v>5500</v>
      </c>
      <c r="I174" s="189"/>
      <c r="J174" s="189">
        <f>5500-H174</f>
        <v>0</v>
      </c>
      <c r="K174" s="189">
        <f>+J174-I174</f>
        <v>0</v>
      </c>
      <c r="L174" s="190" t="s">
        <v>551</v>
      </c>
    </row>
    <row r="175" spans="1:13" s="180" customFormat="1" ht="8.65" customHeight="1" x14ac:dyDescent="0.15">
      <c r="A175" s="187" t="s">
        <v>664</v>
      </c>
      <c r="B175" s="187" t="s">
        <v>764</v>
      </c>
      <c r="C175" s="187" t="s">
        <v>666</v>
      </c>
      <c r="D175" s="187" t="s">
        <v>765</v>
      </c>
      <c r="E175" s="187" t="s">
        <v>117</v>
      </c>
      <c r="F175" s="188"/>
      <c r="G175" s="18"/>
      <c r="H175" s="18">
        <f>2987</f>
        <v>2987</v>
      </c>
      <c r="I175" s="189"/>
      <c r="J175" s="189">
        <f>12000-H175</f>
        <v>9013</v>
      </c>
      <c r="K175" s="189">
        <f>+J175-I175</f>
        <v>9013</v>
      </c>
      <c r="L175" s="190" t="s">
        <v>551</v>
      </c>
    </row>
    <row r="176" spans="1:13" s="180" customFormat="1" ht="8.65" customHeight="1" x14ac:dyDescent="0.15">
      <c r="A176" s="187" t="s">
        <v>664</v>
      </c>
      <c r="B176" s="187" t="s">
        <v>678</v>
      </c>
      <c r="C176" s="187" t="s">
        <v>676</v>
      </c>
      <c r="D176" s="187" t="s">
        <v>679</v>
      </c>
      <c r="E176" s="187" t="s">
        <v>117</v>
      </c>
      <c r="F176" s="188"/>
      <c r="G176" s="18"/>
      <c r="H176" s="18">
        <f>3169</f>
        <v>3169</v>
      </c>
      <c r="I176" s="189"/>
      <c r="J176" s="189">
        <f>6000-H176</f>
        <v>2831</v>
      </c>
      <c r="K176" s="189">
        <f>+J176-I176</f>
        <v>2831</v>
      </c>
      <c r="L176" s="190" t="s">
        <v>551</v>
      </c>
    </row>
    <row r="177" spans="1:12" s="180" customFormat="1" ht="8.65" customHeight="1" x14ac:dyDescent="0.15">
      <c r="A177" s="187" t="s">
        <v>664</v>
      </c>
      <c r="B177" s="187" t="s">
        <v>680</v>
      </c>
      <c r="C177" s="187" t="s">
        <v>676</v>
      </c>
      <c r="D177" s="187" t="s">
        <v>681</v>
      </c>
      <c r="E177" s="187" t="s">
        <v>117</v>
      </c>
      <c r="F177" s="188"/>
      <c r="G177" s="18"/>
      <c r="H177" s="18">
        <v>3169</v>
      </c>
      <c r="I177" s="189"/>
      <c r="J177" s="189">
        <f>6000-H177</f>
        <v>2831</v>
      </c>
      <c r="K177" s="189">
        <f t="shared" ref="K177:K204" si="13">+J177-I177</f>
        <v>2831</v>
      </c>
      <c r="L177" s="190" t="s">
        <v>551</v>
      </c>
    </row>
    <row r="178" spans="1:12" s="180" customFormat="1" ht="8.65" customHeight="1" x14ac:dyDescent="0.15">
      <c r="A178" s="187" t="s">
        <v>664</v>
      </c>
      <c r="B178" s="187" t="s">
        <v>685</v>
      </c>
      <c r="C178" s="187" t="s">
        <v>683</v>
      </c>
      <c r="D178" s="187" t="s">
        <v>686</v>
      </c>
      <c r="E178" s="187" t="s">
        <v>117</v>
      </c>
      <c r="F178" s="188"/>
      <c r="G178" s="18"/>
      <c r="H178" s="18">
        <v>4000</v>
      </c>
      <c r="I178" s="189"/>
      <c r="J178" s="189">
        <f>4000-H178</f>
        <v>0</v>
      </c>
      <c r="K178" s="189">
        <f t="shared" si="13"/>
        <v>0</v>
      </c>
      <c r="L178" s="190" t="s">
        <v>551</v>
      </c>
    </row>
    <row r="179" spans="1:12" s="180" customFormat="1" ht="8.65" customHeight="1" x14ac:dyDescent="0.15">
      <c r="A179" s="187" t="s">
        <v>664</v>
      </c>
      <c r="B179" s="187" t="s">
        <v>904</v>
      </c>
      <c r="C179" s="187" t="s">
        <v>683</v>
      </c>
      <c r="D179" s="187" t="s">
        <v>905</v>
      </c>
      <c r="E179" s="187" t="s">
        <v>117</v>
      </c>
      <c r="F179" s="188"/>
      <c r="G179" s="18"/>
      <c r="H179" s="18">
        <v>8000</v>
      </c>
      <c r="I179" s="189"/>
      <c r="J179" s="189">
        <f>8000-H179</f>
        <v>0</v>
      </c>
      <c r="K179" s="189">
        <f t="shared" si="13"/>
        <v>0</v>
      </c>
      <c r="L179" s="190" t="s">
        <v>551</v>
      </c>
    </row>
    <row r="180" spans="1:12" s="180" customFormat="1" ht="8.65" customHeight="1" x14ac:dyDescent="0.15">
      <c r="A180" s="187" t="s">
        <v>664</v>
      </c>
      <c r="B180" s="187" t="s">
        <v>777</v>
      </c>
      <c r="C180" s="187" t="s">
        <v>683</v>
      </c>
      <c r="D180" s="187" t="s">
        <v>778</v>
      </c>
      <c r="E180" s="187" t="s">
        <v>117</v>
      </c>
      <c r="F180" s="188"/>
      <c r="G180" s="18"/>
      <c r="H180" s="18">
        <v>9000</v>
      </c>
      <c r="I180" s="189"/>
      <c r="J180" s="189">
        <f>9000-H180</f>
        <v>0</v>
      </c>
      <c r="K180" s="189">
        <f t="shared" si="13"/>
        <v>0</v>
      </c>
      <c r="L180" s="190" t="s">
        <v>551</v>
      </c>
    </row>
    <row r="181" spans="1:12" s="180" customFormat="1" ht="8.65" customHeight="1" x14ac:dyDescent="0.15">
      <c r="A181" s="187" t="s">
        <v>664</v>
      </c>
      <c r="B181" s="187" t="s">
        <v>738</v>
      </c>
      <c r="C181" s="187" t="s">
        <v>683</v>
      </c>
      <c r="D181" s="187" t="s">
        <v>739</v>
      </c>
      <c r="E181" s="187" t="s">
        <v>117</v>
      </c>
      <c r="F181" s="188"/>
      <c r="G181" s="18"/>
      <c r="H181" s="18">
        <v>10000</v>
      </c>
      <c r="I181" s="189"/>
      <c r="J181" s="189">
        <f>10000-H181</f>
        <v>0</v>
      </c>
      <c r="K181" s="189">
        <f t="shared" si="13"/>
        <v>0</v>
      </c>
      <c r="L181" s="190" t="s">
        <v>551</v>
      </c>
    </row>
    <row r="182" spans="1:12" s="180" customFormat="1" ht="8.65" customHeight="1" x14ac:dyDescent="0.15">
      <c r="A182" s="187" t="s">
        <v>664</v>
      </c>
      <c r="B182" s="187" t="s">
        <v>834</v>
      </c>
      <c r="C182" s="187" t="s">
        <v>683</v>
      </c>
      <c r="D182" s="187" t="s">
        <v>835</v>
      </c>
      <c r="E182" s="187" t="s">
        <v>117</v>
      </c>
      <c r="F182" s="188"/>
      <c r="G182" s="18"/>
      <c r="H182" s="18">
        <v>8000</v>
      </c>
      <c r="I182" s="189"/>
      <c r="J182" s="189">
        <f>8000-H182</f>
        <v>0</v>
      </c>
      <c r="K182" s="189">
        <f t="shared" si="13"/>
        <v>0</v>
      </c>
      <c r="L182" s="190" t="s">
        <v>551</v>
      </c>
    </row>
    <row r="183" spans="1:12" s="180" customFormat="1" ht="8.65" customHeight="1" x14ac:dyDescent="0.15">
      <c r="A183" s="187" t="s">
        <v>664</v>
      </c>
      <c r="B183" s="187" t="s">
        <v>698</v>
      </c>
      <c r="C183" s="187" t="s">
        <v>683</v>
      </c>
      <c r="D183" s="187" t="s">
        <v>699</v>
      </c>
      <c r="E183" s="187" t="s">
        <v>117</v>
      </c>
      <c r="F183" s="188"/>
      <c r="G183" s="18"/>
      <c r="H183" s="18">
        <v>140000</v>
      </c>
      <c r="I183" s="189"/>
      <c r="J183" s="189">
        <f>140000-H183</f>
        <v>0</v>
      </c>
      <c r="K183" s="189">
        <f t="shared" si="13"/>
        <v>0</v>
      </c>
      <c r="L183" s="190" t="s">
        <v>551</v>
      </c>
    </row>
    <row r="184" spans="1:12" s="180" customFormat="1" ht="8.65" customHeight="1" x14ac:dyDescent="0.15">
      <c r="A184" s="187" t="s">
        <v>664</v>
      </c>
      <c r="B184" s="187" t="s">
        <v>838</v>
      </c>
      <c r="C184" s="187" t="s">
        <v>683</v>
      </c>
      <c r="D184" s="187" t="s">
        <v>839</v>
      </c>
      <c r="E184" s="187" t="s">
        <v>117</v>
      </c>
      <c r="F184" s="188"/>
      <c r="G184" s="18"/>
      <c r="H184" s="18">
        <v>64000</v>
      </c>
      <c r="I184" s="189"/>
      <c r="J184" s="189">
        <f>64000-H184</f>
        <v>0</v>
      </c>
      <c r="K184" s="189">
        <f t="shared" si="13"/>
        <v>0</v>
      </c>
      <c r="L184" s="190" t="s">
        <v>551</v>
      </c>
    </row>
    <row r="185" spans="1:12" s="180" customFormat="1" ht="8.65" customHeight="1" x14ac:dyDescent="0.15">
      <c r="A185" s="187" t="s">
        <v>664</v>
      </c>
      <c r="B185" s="187" t="s">
        <v>906</v>
      </c>
      <c r="C185" s="187" t="s">
        <v>683</v>
      </c>
      <c r="D185" s="187" t="s">
        <v>907</v>
      </c>
      <c r="E185" s="187" t="s">
        <v>117</v>
      </c>
      <c r="F185" s="188"/>
      <c r="G185" s="18"/>
      <c r="H185" s="18">
        <v>5500</v>
      </c>
      <c r="I185" s="189"/>
      <c r="J185" s="189">
        <f>5500-H185</f>
        <v>0</v>
      </c>
      <c r="K185" s="189">
        <f t="shared" si="13"/>
        <v>0</v>
      </c>
      <c r="L185" s="190" t="s">
        <v>551</v>
      </c>
    </row>
    <row r="186" spans="1:12" s="180" customFormat="1" ht="8.65" customHeight="1" x14ac:dyDescent="0.15">
      <c r="A186" s="187" t="s">
        <v>664</v>
      </c>
      <c r="B186" s="187" t="s">
        <v>908</v>
      </c>
      <c r="C186" s="187" t="s">
        <v>683</v>
      </c>
      <c r="D186" s="187" t="s">
        <v>909</v>
      </c>
      <c r="E186" s="187" t="s">
        <v>117</v>
      </c>
      <c r="F186" s="188"/>
      <c r="G186" s="18"/>
      <c r="H186" s="18">
        <v>12500</v>
      </c>
      <c r="I186" s="189"/>
      <c r="J186" s="189">
        <f>12500-H186</f>
        <v>0</v>
      </c>
      <c r="K186" s="189">
        <f t="shared" si="13"/>
        <v>0</v>
      </c>
      <c r="L186" s="190" t="s">
        <v>551</v>
      </c>
    </row>
    <row r="187" spans="1:12" s="180" customFormat="1" ht="8.65" customHeight="1" x14ac:dyDescent="0.15">
      <c r="A187" s="187" t="s">
        <v>664</v>
      </c>
      <c r="B187" s="187" t="s">
        <v>785</v>
      </c>
      <c r="C187" s="187" t="s">
        <v>683</v>
      </c>
      <c r="D187" s="187" t="s">
        <v>910</v>
      </c>
      <c r="E187" s="187" t="s">
        <v>117</v>
      </c>
      <c r="F187" s="188"/>
      <c r="G187" s="18"/>
      <c r="H187" s="18">
        <v>11500</v>
      </c>
      <c r="I187" s="189"/>
      <c r="J187" s="189">
        <f>11500-H187</f>
        <v>0</v>
      </c>
      <c r="K187" s="189">
        <f t="shared" si="13"/>
        <v>0</v>
      </c>
      <c r="L187" s="190" t="s">
        <v>551</v>
      </c>
    </row>
    <row r="188" spans="1:12" s="180" customFormat="1" ht="8.65" customHeight="1" x14ac:dyDescent="0.15">
      <c r="A188" s="187" t="s">
        <v>664</v>
      </c>
      <c r="B188" s="187" t="s">
        <v>911</v>
      </c>
      <c r="C188" s="187" t="s">
        <v>769</v>
      </c>
      <c r="D188" s="187" t="s">
        <v>912</v>
      </c>
      <c r="E188" s="187" t="s">
        <v>117</v>
      </c>
      <c r="F188" s="188"/>
      <c r="G188" s="18"/>
      <c r="H188" s="18">
        <v>254280</v>
      </c>
      <c r="I188" s="189"/>
      <c r="J188" s="189">
        <f>255000-H188</f>
        <v>720</v>
      </c>
      <c r="K188" s="189">
        <f>+J188-I188</f>
        <v>720</v>
      </c>
      <c r="L188" s="190" t="s">
        <v>551</v>
      </c>
    </row>
    <row r="189" spans="1:12" s="180" customFormat="1" ht="8.65" customHeight="1" x14ac:dyDescent="0.15">
      <c r="A189" s="187" t="s">
        <v>664</v>
      </c>
      <c r="B189" s="187" t="s">
        <v>913</v>
      </c>
      <c r="C189" s="187" t="s">
        <v>683</v>
      </c>
      <c r="D189" s="187" t="s">
        <v>914</v>
      </c>
      <c r="E189" s="187" t="s">
        <v>117</v>
      </c>
      <c r="F189" s="188"/>
      <c r="G189" s="18"/>
      <c r="H189" s="18">
        <v>530000</v>
      </c>
      <c r="I189" s="189"/>
      <c r="J189" s="189">
        <f>530000-H189</f>
        <v>0</v>
      </c>
      <c r="K189" s="189">
        <f t="shared" si="13"/>
        <v>0</v>
      </c>
      <c r="L189" s="190" t="s">
        <v>551</v>
      </c>
    </row>
    <row r="190" spans="1:12" s="180" customFormat="1" ht="8.65" customHeight="1" x14ac:dyDescent="0.15">
      <c r="A190" s="187" t="s">
        <v>664</v>
      </c>
      <c r="B190" s="187" t="s">
        <v>915</v>
      </c>
      <c r="C190" s="187" t="s">
        <v>683</v>
      </c>
      <c r="D190" s="187" t="s">
        <v>916</v>
      </c>
      <c r="E190" s="187" t="s">
        <v>117</v>
      </c>
      <c r="F190" s="188"/>
      <c r="G190" s="18"/>
      <c r="H190" s="18">
        <v>530000</v>
      </c>
      <c r="I190" s="189"/>
      <c r="J190" s="189">
        <f>530000-H190</f>
        <v>0</v>
      </c>
      <c r="K190" s="189">
        <f t="shared" si="13"/>
        <v>0</v>
      </c>
      <c r="L190" s="190" t="s">
        <v>551</v>
      </c>
    </row>
    <row r="191" spans="1:12" s="180" customFormat="1" ht="8.65" customHeight="1" x14ac:dyDescent="0.15">
      <c r="A191" s="187" t="s">
        <v>664</v>
      </c>
      <c r="B191" s="187" t="s">
        <v>917</v>
      </c>
      <c r="C191" s="187" t="s">
        <v>683</v>
      </c>
      <c r="D191" s="187" t="s">
        <v>918</v>
      </c>
      <c r="E191" s="187" t="s">
        <v>117</v>
      </c>
      <c r="F191" s="188"/>
      <c r="G191" s="18"/>
      <c r="H191" s="18">
        <v>3500</v>
      </c>
      <c r="I191" s="189"/>
      <c r="J191" s="189">
        <f>3500-H191</f>
        <v>0</v>
      </c>
      <c r="K191" s="189">
        <f t="shared" si="13"/>
        <v>0</v>
      </c>
      <c r="L191" s="190" t="s">
        <v>551</v>
      </c>
    </row>
    <row r="192" spans="1:12" s="180" customFormat="1" ht="8.65" customHeight="1" x14ac:dyDescent="0.15">
      <c r="A192" s="187" t="s">
        <v>664</v>
      </c>
      <c r="B192" s="187" t="s">
        <v>799</v>
      </c>
      <c r="C192" s="187" t="s">
        <v>666</v>
      </c>
      <c r="D192" s="187" t="s">
        <v>800</v>
      </c>
      <c r="E192" s="187" t="s">
        <v>117</v>
      </c>
      <c r="F192" s="188"/>
      <c r="G192" s="18"/>
      <c r="H192" s="18">
        <v>26500</v>
      </c>
      <c r="I192" s="189"/>
      <c r="J192" s="189">
        <f>26500-H192</f>
        <v>0</v>
      </c>
      <c r="K192" s="189">
        <f t="shared" si="13"/>
        <v>0</v>
      </c>
      <c r="L192" s="190" t="s">
        <v>551</v>
      </c>
    </row>
    <row r="193" spans="1:16" s="180" customFormat="1" ht="8.65" customHeight="1" x14ac:dyDescent="0.15">
      <c r="A193" s="187" t="s">
        <v>664</v>
      </c>
      <c r="B193" s="187" t="s">
        <v>919</v>
      </c>
      <c r="C193" s="187" t="s">
        <v>683</v>
      </c>
      <c r="D193" s="187" t="s">
        <v>920</v>
      </c>
      <c r="E193" s="187" t="s">
        <v>117</v>
      </c>
      <c r="F193" s="188"/>
      <c r="G193" s="18"/>
      <c r="H193" s="18">
        <v>2000</v>
      </c>
      <c r="I193" s="189"/>
      <c r="J193" s="189">
        <f>2000-H193</f>
        <v>0</v>
      </c>
      <c r="K193" s="189">
        <f t="shared" si="13"/>
        <v>0</v>
      </c>
      <c r="L193" s="190" t="s">
        <v>551</v>
      </c>
    </row>
    <row r="194" spans="1:16" s="180" customFormat="1" ht="8.65" customHeight="1" x14ac:dyDescent="0.15">
      <c r="A194" s="187" t="s">
        <v>664</v>
      </c>
      <c r="B194" s="187" t="s">
        <v>870</v>
      </c>
      <c r="C194" s="187" t="s">
        <v>683</v>
      </c>
      <c r="D194" s="187" t="s">
        <v>921</v>
      </c>
      <c r="E194" s="187" t="s">
        <v>117</v>
      </c>
      <c r="F194" s="188"/>
      <c r="G194" s="18"/>
      <c r="H194" s="18">
        <v>6000</v>
      </c>
      <c r="I194" s="189"/>
      <c r="J194" s="189">
        <f>6000-H194</f>
        <v>0</v>
      </c>
      <c r="K194" s="189">
        <f t="shared" si="13"/>
        <v>0</v>
      </c>
      <c r="L194" s="190" t="s">
        <v>551</v>
      </c>
    </row>
    <row r="195" spans="1:16" s="180" customFormat="1" ht="8.65" customHeight="1" x14ac:dyDescent="0.15">
      <c r="A195" s="187" t="s">
        <v>664</v>
      </c>
      <c r="B195" s="187" t="s">
        <v>742</v>
      </c>
      <c r="C195" s="187" t="s">
        <v>683</v>
      </c>
      <c r="D195" s="187" t="s">
        <v>743</v>
      </c>
      <c r="E195" s="187" t="s">
        <v>117</v>
      </c>
      <c r="F195" s="188"/>
      <c r="G195" s="18"/>
      <c r="H195" s="18">
        <v>9600</v>
      </c>
      <c r="I195" s="189"/>
      <c r="J195" s="189">
        <f>9600-H195</f>
        <v>0</v>
      </c>
      <c r="K195" s="189">
        <f t="shared" si="13"/>
        <v>0</v>
      </c>
      <c r="L195" s="190" t="s">
        <v>551</v>
      </c>
    </row>
    <row r="196" spans="1:16" s="180" customFormat="1" ht="8.65" customHeight="1" x14ac:dyDescent="0.15">
      <c r="A196" s="187" t="s">
        <v>664</v>
      </c>
      <c r="B196" s="187" t="s">
        <v>744</v>
      </c>
      <c r="C196" s="187" t="s">
        <v>683</v>
      </c>
      <c r="D196" s="187" t="s">
        <v>922</v>
      </c>
      <c r="E196" s="187" t="s">
        <v>117</v>
      </c>
      <c r="F196" s="188"/>
      <c r="G196" s="18"/>
      <c r="H196" s="18">
        <v>9600</v>
      </c>
      <c r="I196" s="189"/>
      <c r="J196" s="189">
        <f>9600-H196</f>
        <v>0</v>
      </c>
      <c r="K196" s="189">
        <f t="shared" si="13"/>
        <v>0</v>
      </c>
      <c r="L196" s="190" t="s">
        <v>551</v>
      </c>
    </row>
    <row r="197" spans="1:16" s="180" customFormat="1" ht="8.65" customHeight="1" x14ac:dyDescent="0.15">
      <c r="A197" s="187" t="s">
        <v>664</v>
      </c>
      <c r="B197" s="187" t="s">
        <v>746</v>
      </c>
      <c r="C197" s="187" t="s">
        <v>683</v>
      </c>
      <c r="D197" s="187" t="s">
        <v>923</v>
      </c>
      <c r="E197" s="187" t="s">
        <v>117</v>
      </c>
      <c r="F197" s="188"/>
      <c r="G197" s="18"/>
      <c r="H197" s="18">
        <v>3600</v>
      </c>
      <c r="I197" s="189"/>
      <c r="J197" s="189">
        <f>3600-H197</f>
        <v>0</v>
      </c>
      <c r="K197" s="189">
        <f t="shared" si="13"/>
        <v>0</v>
      </c>
      <c r="L197" s="190" t="s">
        <v>551</v>
      </c>
    </row>
    <row r="198" spans="1:16" s="180" customFormat="1" ht="9.6" customHeight="1" x14ac:dyDescent="0.15">
      <c r="A198" s="187" t="s">
        <v>664</v>
      </c>
      <c r="B198" s="187" t="s">
        <v>924</v>
      </c>
      <c r="C198" s="187" t="s">
        <v>925</v>
      </c>
      <c r="D198" s="187" t="s">
        <v>926</v>
      </c>
      <c r="E198" s="187" t="s">
        <v>117</v>
      </c>
      <c r="F198" s="188"/>
      <c r="G198" s="18"/>
      <c r="H198" s="18">
        <v>64000</v>
      </c>
      <c r="I198" s="189"/>
      <c r="J198" s="189">
        <f>64000-H198</f>
        <v>0</v>
      </c>
      <c r="K198" s="189">
        <f t="shared" si="13"/>
        <v>0</v>
      </c>
      <c r="L198" s="190" t="s">
        <v>927</v>
      </c>
    </row>
    <row r="199" spans="1:16" s="211" customFormat="1" ht="8.65" customHeight="1" x14ac:dyDescent="0.15">
      <c r="A199" s="187" t="s">
        <v>664</v>
      </c>
      <c r="B199" s="187" t="s">
        <v>828</v>
      </c>
      <c r="C199" s="187" t="s">
        <v>707</v>
      </c>
      <c r="D199" s="187" t="s">
        <v>928</v>
      </c>
      <c r="E199" s="187" t="s">
        <v>117</v>
      </c>
      <c r="F199" s="188"/>
      <c r="G199" s="18"/>
      <c r="H199" s="18">
        <v>36334</v>
      </c>
      <c r="I199" s="189"/>
      <c r="J199" s="189">
        <f>140000-H199</f>
        <v>103666</v>
      </c>
      <c r="K199" s="189">
        <f t="shared" si="13"/>
        <v>103666</v>
      </c>
      <c r="L199" s="190" t="s">
        <v>551</v>
      </c>
    </row>
    <row r="200" spans="1:16" s="180" customFormat="1" ht="8.65" customHeight="1" x14ac:dyDescent="0.15">
      <c r="A200" s="187" t="s">
        <v>664</v>
      </c>
      <c r="B200" s="187" t="s">
        <v>929</v>
      </c>
      <c r="C200" s="187" t="s">
        <v>673</v>
      </c>
      <c r="D200" s="187" t="s">
        <v>930</v>
      </c>
      <c r="E200" s="187" t="s">
        <v>117</v>
      </c>
      <c r="F200" s="188"/>
      <c r="G200" s="18"/>
      <c r="H200" s="18">
        <v>35520</v>
      </c>
      <c r="I200" s="189"/>
      <c r="J200" s="189">
        <f>100000-H200</f>
        <v>64480</v>
      </c>
      <c r="K200" s="189">
        <f t="shared" si="13"/>
        <v>64480</v>
      </c>
      <c r="L200" s="190" t="s">
        <v>551</v>
      </c>
    </row>
    <row r="201" spans="1:16" s="180" customFormat="1" ht="8.65" customHeight="1" x14ac:dyDescent="0.15">
      <c r="A201" s="187" t="s">
        <v>664</v>
      </c>
      <c r="B201" s="187" t="s">
        <v>722</v>
      </c>
      <c r="C201" s="187" t="s">
        <v>720</v>
      </c>
      <c r="D201" s="187" t="s">
        <v>723</v>
      </c>
      <c r="E201" s="187" t="s">
        <v>117</v>
      </c>
      <c r="F201" s="188"/>
      <c r="G201" s="18"/>
      <c r="H201" s="18">
        <v>11838</v>
      </c>
      <c r="I201" s="189"/>
      <c r="J201" s="189">
        <f>60000-H201</f>
        <v>48162</v>
      </c>
      <c r="K201" s="189">
        <f>+J201-I201</f>
        <v>48162</v>
      </c>
      <c r="L201" s="190" t="s">
        <v>551</v>
      </c>
    </row>
    <row r="202" spans="1:16" s="180" customFormat="1" ht="8.65" customHeight="1" x14ac:dyDescent="0.15">
      <c r="A202" s="187" t="s">
        <v>664</v>
      </c>
      <c r="B202" s="187" t="s">
        <v>931</v>
      </c>
      <c r="C202" s="187" t="s">
        <v>925</v>
      </c>
      <c r="D202" s="187" t="s">
        <v>932</v>
      </c>
      <c r="E202" s="187" t="s">
        <v>117</v>
      </c>
      <c r="F202" s="188"/>
      <c r="G202" s="18"/>
      <c r="H202" s="18">
        <v>440000</v>
      </c>
      <c r="I202" s="189"/>
      <c r="J202" s="189">
        <f>440000-H202</f>
        <v>0</v>
      </c>
      <c r="K202" s="189">
        <f t="shared" si="13"/>
        <v>0</v>
      </c>
      <c r="L202" s="190" t="s">
        <v>551</v>
      </c>
    </row>
    <row r="203" spans="1:16" s="180" customFormat="1" ht="8.65" customHeight="1" x14ac:dyDescent="0.15">
      <c r="A203" s="187" t="s">
        <v>664</v>
      </c>
      <c r="B203" s="187" t="s">
        <v>933</v>
      </c>
      <c r="C203" s="187" t="s">
        <v>925</v>
      </c>
      <c r="D203" s="187" t="s">
        <v>934</v>
      </c>
      <c r="E203" s="187" t="s">
        <v>117</v>
      </c>
      <c r="F203" s="188"/>
      <c r="G203" s="18"/>
      <c r="H203" s="18">
        <v>600000</v>
      </c>
      <c r="I203" s="189"/>
      <c r="J203" s="189">
        <f>600000-H203</f>
        <v>0</v>
      </c>
      <c r="K203" s="189">
        <f t="shared" si="13"/>
        <v>0</v>
      </c>
      <c r="L203" s="190" t="s">
        <v>551</v>
      </c>
    </row>
    <row r="204" spans="1:16" s="180" customFormat="1" ht="8.65" customHeight="1" x14ac:dyDescent="0.15">
      <c r="A204" s="187" t="s">
        <v>664</v>
      </c>
      <c r="B204" s="187" t="s">
        <v>830</v>
      </c>
      <c r="C204" s="187" t="s">
        <v>683</v>
      </c>
      <c r="D204" s="187" t="s">
        <v>831</v>
      </c>
      <c r="E204" s="187" t="s">
        <v>117</v>
      </c>
      <c r="F204" s="188"/>
      <c r="G204" s="18"/>
      <c r="H204" s="18">
        <v>24000</v>
      </c>
      <c r="I204" s="189"/>
      <c r="J204" s="189">
        <f>24000-H204</f>
        <v>0</v>
      </c>
      <c r="K204" s="189">
        <f t="shared" si="13"/>
        <v>0</v>
      </c>
      <c r="L204" s="190" t="s">
        <v>551</v>
      </c>
    </row>
    <row r="205" spans="1:16" s="180" customFormat="1" ht="10.15" customHeight="1" x14ac:dyDescent="0.15">
      <c r="A205" s="270" t="s">
        <v>121</v>
      </c>
      <c r="B205" s="270"/>
      <c r="C205" s="270"/>
      <c r="D205" s="270"/>
      <c r="E205" s="270"/>
      <c r="F205" s="270"/>
      <c r="G205" s="191"/>
      <c r="H205" s="191"/>
      <c r="I205" s="192"/>
      <c r="J205" s="192">
        <f>SUM(J174:J204)</f>
        <v>231703</v>
      </c>
      <c r="K205" s="192">
        <f>SUM(K174:K204)</f>
        <v>231703</v>
      </c>
      <c r="L205" s="193"/>
    </row>
    <row r="206" spans="1:16" s="180" customFormat="1" ht="5.45" customHeight="1" x14ac:dyDescent="0.2">
      <c r="A206" s="197"/>
      <c r="B206" s="197"/>
      <c r="C206" s="197"/>
      <c r="D206" s="197"/>
      <c r="E206" s="197"/>
      <c r="F206" s="197"/>
      <c r="G206" s="197"/>
      <c r="H206" s="198"/>
      <c r="I206" s="199"/>
      <c r="J206" s="199"/>
      <c r="K206" s="199"/>
      <c r="L206" s="197"/>
      <c r="M206" s="197"/>
      <c r="N206" s="197"/>
      <c r="O206" s="197"/>
      <c r="P206" s="197"/>
    </row>
    <row r="207" spans="1:16" s="180" customFormat="1" ht="11.45" customHeight="1" x14ac:dyDescent="0.15">
      <c r="A207" s="184" t="s">
        <v>664</v>
      </c>
      <c r="B207" s="184" t="s">
        <v>935</v>
      </c>
      <c r="C207" s="184" t="s">
        <v>666</v>
      </c>
      <c r="D207" s="184" t="s">
        <v>936</v>
      </c>
      <c r="E207" s="184" t="s">
        <v>436</v>
      </c>
      <c r="F207" s="184" t="s">
        <v>937</v>
      </c>
      <c r="G207" s="15"/>
      <c r="H207" s="15">
        <v>1194785</v>
      </c>
      <c r="I207" s="182"/>
      <c r="J207" s="182">
        <f>2000000-H207</f>
        <v>805215</v>
      </c>
      <c r="K207" s="182">
        <f>+J207-I207</f>
        <v>805215</v>
      </c>
      <c r="L207" s="183" t="s">
        <v>551</v>
      </c>
    </row>
    <row r="208" spans="1:16" s="180" customFormat="1" ht="10.15" customHeight="1" x14ac:dyDescent="0.15">
      <c r="A208" s="270" t="s">
        <v>437</v>
      </c>
      <c r="B208" s="270"/>
      <c r="C208" s="270"/>
      <c r="D208" s="270"/>
      <c r="E208" s="270"/>
      <c r="F208" s="270"/>
      <c r="G208" s="191"/>
      <c r="H208" s="191"/>
      <c r="I208" s="192"/>
      <c r="J208" s="192">
        <v>2000000</v>
      </c>
      <c r="K208" s="192">
        <f>SUM(K206:K207)</f>
        <v>805215</v>
      </c>
      <c r="L208" s="193"/>
    </row>
    <row r="209" spans="1:15" s="180" customFormat="1" ht="6.6" customHeight="1" x14ac:dyDescent="0.2">
      <c r="A209" s="197"/>
      <c r="B209" s="197"/>
      <c r="C209" s="197"/>
      <c r="D209" s="197"/>
      <c r="E209" s="197"/>
      <c r="F209" s="197"/>
      <c r="G209" s="197"/>
      <c r="H209" s="198"/>
      <c r="I209" s="199"/>
      <c r="J209" s="199"/>
      <c r="K209" s="199"/>
      <c r="L209" s="197"/>
      <c r="M209" s="197"/>
      <c r="N209" s="197"/>
      <c r="O209" s="197"/>
    </row>
    <row r="210" spans="1:15" s="180" customFormat="1" ht="8.65" customHeight="1" x14ac:dyDescent="0.15">
      <c r="A210" s="187" t="s">
        <v>664</v>
      </c>
      <c r="B210" s="187" t="s">
        <v>665</v>
      </c>
      <c r="C210" s="187" t="s">
        <v>666</v>
      </c>
      <c r="D210" s="187" t="s">
        <v>667</v>
      </c>
      <c r="E210" s="187" t="s">
        <v>123</v>
      </c>
      <c r="F210" s="187" t="s">
        <v>124</v>
      </c>
      <c r="G210" s="18"/>
      <c r="H210" s="18">
        <v>241251</v>
      </c>
      <c r="I210" s="189"/>
      <c r="J210" s="189">
        <f>360000-H210</f>
        <v>118749</v>
      </c>
      <c r="K210" s="189">
        <f>+J210-I$210</f>
        <v>118749</v>
      </c>
      <c r="L210" s="190" t="s">
        <v>551</v>
      </c>
    </row>
    <row r="211" spans="1:15" s="180" customFormat="1" ht="8.65" customHeight="1" x14ac:dyDescent="0.15">
      <c r="A211" s="187" t="s">
        <v>664</v>
      </c>
      <c r="B211" s="187" t="s">
        <v>764</v>
      </c>
      <c r="C211" s="187" t="s">
        <v>666</v>
      </c>
      <c r="D211" s="187" t="s">
        <v>765</v>
      </c>
      <c r="E211" s="187" t="s">
        <v>123</v>
      </c>
      <c r="F211" s="188"/>
      <c r="G211" s="18"/>
      <c r="H211" s="18">
        <v>2010</v>
      </c>
      <c r="I211" s="189"/>
      <c r="J211" s="189">
        <f>3000-H211</f>
        <v>990</v>
      </c>
      <c r="K211" s="189">
        <f>+J211-I$210</f>
        <v>990</v>
      </c>
      <c r="L211" s="190" t="s">
        <v>551</v>
      </c>
    </row>
    <row r="212" spans="1:15" s="180" customFormat="1" ht="8.65" customHeight="1" x14ac:dyDescent="0.15">
      <c r="A212" s="187" t="s">
        <v>664</v>
      </c>
      <c r="B212" s="187" t="s">
        <v>766</v>
      </c>
      <c r="C212" s="187" t="s">
        <v>666</v>
      </c>
      <c r="D212" s="187" t="s">
        <v>938</v>
      </c>
      <c r="E212" s="187" t="s">
        <v>123</v>
      </c>
      <c r="F212" s="188"/>
      <c r="G212" s="18"/>
      <c r="H212" s="18">
        <v>3183</v>
      </c>
      <c r="I212" s="189"/>
      <c r="J212" s="189">
        <f>4750-H212</f>
        <v>1567</v>
      </c>
      <c r="K212" s="189">
        <f t="shared" ref="K212:K229" si="14">+J212-I$210</f>
        <v>1567</v>
      </c>
      <c r="L212" s="190" t="s">
        <v>551</v>
      </c>
    </row>
    <row r="213" spans="1:15" s="180" customFormat="1" ht="8.65" customHeight="1" x14ac:dyDescent="0.15">
      <c r="A213" s="187" t="s">
        <v>664</v>
      </c>
      <c r="B213" s="187" t="s">
        <v>939</v>
      </c>
      <c r="C213" s="187" t="s">
        <v>666</v>
      </c>
      <c r="D213" s="187" t="s">
        <v>940</v>
      </c>
      <c r="E213" s="187" t="s">
        <v>123</v>
      </c>
      <c r="F213" s="188"/>
      <c r="G213" s="18"/>
      <c r="H213" s="18">
        <v>10722</v>
      </c>
      <c r="I213" s="189"/>
      <c r="J213" s="189">
        <f>16000-H213</f>
        <v>5278</v>
      </c>
      <c r="K213" s="189">
        <f t="shared" si="14"/>
        <v>5278</v>
      </c>
      <c r="L213" s="190" t="s">
        <v>551</v>
      </c>
    </row>
    <row r="214" spans="1:15" s="180" customFormat="1" ht="8.65" customHeight="1" x14ac:dyDescent="0.15">
      <c r="A214" s="187" t="s">
        <v>664</v>
      </c>
      <c r="B214" s="187" t="s">
        <v>941</v>
      </c>
      <c r="C214" s="187" t="s">
        <v>942</v>
      </c>
      <c r="D214" s="212" t="s">
        <v>943</v>
      </c>
      <c r="E214" s="187" t="s">
        <v>123</v>
      </c>
      <c r="F214" s="188"/>
      <c r="G214" s="18"/>
      <c r="H214" s="18">
        <v>210</v>
      </c>
      <c r="I214" s="189"/>
      <c r="J214" s="189">
        <f>3500-H214</f>
        <v>3290</v>
      </c>
      <c r="K214" s="189">
        <f t="shared" si="14"/>
        <v>3290</v>
      </c>
      <c r="L214" s="190" t="s">
        <v>551</v>
      </c>
    </row>
    <row r="215" spans="1:15" s="180" customFormat="1" ht="8.65" customHeight="1" x14ac:dyDescent="0.15">
      <c r="A215" s="187" t="s">
        <v>664</v>
      </c>
      <c r="B215" s="187" t="s">
        <v>678</v>
      </c>
      <c r="C215" s="187" t="s">
        <v>676</v>
      </c>
      <c r="D215" s="187" t="s">
        <v>679</v>
      </c>
      <c r="E215" s="187" t="s">
        <v>123</v>
      </c>
      <c r="F215" s="188"/>
      <c r="G215" s="18"/>
      <c r="H215" s="18">
        <v>1848</v>
      </c>
      <c r="I215" s="189"/>
      <c r="J215" s="189">
        <f>3500-H215</f>
        <v>1652</v>
      </c>
      <c r="K215" s="189">
        <f t="shared" si="14"/>
        <v>1652</v>
      </c>
      <c r="L215" s="190" t="s">
        <v>551</v>
      </c>
    </row>
    <row r="216" spans="1:15" s="180" customFormat="1" ht="8.65" customHeight="1" x14ac:dyDescent="0.15">
      <c r="A216" s="187" t="s">
        <v>664</v>
      </c>
      <c r="B216" s="187" t="s">
        <v>685</v>
      </c>
      <c r="C216" s="187" t="s">
        <v>683</v>
      </c>
      <c r="D216" s="187" t="s">
        <v>686</v>
      </c>
      <c r="E216" s="187" t="s">
        <v>123</v>
      </c>
      <c r="F216" s="188"/>
      <c r="G216" s="18"/>
      <c r="H216" s="18">
        <v>720</v>
      </c>
      <c r="I216" s="189"/>
      <c r="J216" s="189">
        <f>720-H216</f>
        <v>0</v>
      </c>
      <c r="K216" s="189">
        <f t="shared" si="14"/>
        <v>0</v>
      </c>
      <c r="L216" s="190" t="s">
        <v>551</v>
      </c>
    </row>
    <row r="217" spans="1:15" s="180" customFormat="1" ht="8.65" customHeight="1" x14ac:dyDescent="0.15">
      <c r="A217" s="187" t="s">
        <v>664</v>
      </c>
      <c r="B217" s="187" t="s">
        <v>944</v>
      </c>
      <c r="C217" s="187" t="s">
        <v>666</v>
      </c>
      <c r="D217" s="187" t="s">
        <v>945</v>
      </c>
      <c r="E217" s="187" t="s">
        <v>123</v>
      </c>
      <c r="F217" s="188"/>
      <c r="G217" s="18"/>
      <c r="H217" s="18">
        <v>1843</v>
      </c>
      <c r="I217" s="189"/>
      <c r="J217" s="189">
        <f>2750-H217</f>
        <v>907</v>
      </c>
      <c r="K217" s="189">
        <f t="shared" si="14"/>
        <v>907</v>
      </c>
      <c r="L217" s="190" t="s">
        <v>551</v>
      </c>
    </row>
    <row r="218" spans="1:15" s="180" customFormat="1" ht="8.65" customHeight="1" x14ac:dyDescent="0.15">
      <c r="A218" s="187" t="s">
        <v>664</v>
      </c>
      <c r="B218" s="187" t="s">
        <v>781</v>
      </c>
      <c r="C218" s="187" t="s">
        <v>683</v>
      </c>
      <c r="D218" s="187" t="s">
        <v>868</v>
      </c>
      <c r="E218" s="187" t="s">
        <v>123</v>
      </c>
      <c r="F218" s="188"/>
      <c r="G218" s="18"/>
      <c r="H218" s="18">
        <v>3000</v>
      </c>
      <c r="I218" s="189"/>
      <c r="J218" s="189">
        <f>3000-H$218</f>
        <v>0</v>
      </c>
      <c r="K218" s="189">
        <f t="shared" si="14"/>
        <v>0</v>
      </c>
      <c r="L218" s="190" t="s">
        <v>551</v>
      </c>
    </row>
    <row r="219" spans="1:15" s="180" customFormat="1" ht="8.65" customHeight="1" x14ac:dyDescent="0.15">
      <c r="A219" s="187" t="s">
        <v>664</v>
      </c>
      <c r="B219" s="187" t="s">
        <v>785</v>
      </c>
      <c r="C219" s="187" t="s">
        <v>683</v>
      </c>
      <c r="D219" s="187" t="s">
        <v>910</v>
      </c>
      <c r="E219" s="187" t="s">
        <v>123</v>
      </c>
      <c r="F219" s="188"/>
      <c r="G219" s="18"/>
      <c r="H219" s="18">
        <v>62500</v>
      </c>
      <c r="I219" s="189"/>
      <c r="J219" s="189">
        <f>3000-H$218</f>
        <v>0</v>
      </c>
      <c r="K219" s="189">
        <f t="shared" si="14"/>
        <v>0</v>
      </c>
      <c r="L219" s="190" t="s">
        <v>551</v>
      </c>
    </row>
    <row r="220" spans="1:15" s="180" customFormat="1" ht="8.65" customHeight="1" x14ac:dyDescent="0.15">
      <c r="A220" s="187" t="s">
        <v>664</v>
      </c>
      <c r="B220" s="187" t="s">
        <v>850</v>
      </c>
      <c r="C220" s="187" t="s">
        <v>683</v>
      </c>
      <c r="D220" s="187" t="s">
        <v>851</v>
      </c>
      <c r="E220" s="187" t="s">
        <v>123</v>
      </c>
      <c r="F220" s="188"/>
      <c r="G220" s="18"/>
      <c r="H220" s="18">
        <v>1000</v>
      </c>
      <c r="I220" s="189"/>
      <c r="J220" s="189">
        <f t="shared" ref="J220:J225" si="15">3000-H$218</f>
        <v>0</v>
      </c>
      <c r="K220" s="189">
        <f t="shared" si="14"/>
        <v>0</v>
      </c>
      <c r="L220" s="190" t="s">
        <v>551</v>
      </c>
    </row>
    <row r="221" spans="1:15" s="180" customFormat="1" ht="8.65" customHeight="1" x14ac:dyDescent="0.15">
      <c r="A221" s="187" t="s">
        <v>664</v>
      </c>
      <c r="B221" s="187" t="s">
        <v>919</v>
      </c>
      <c r="C221" s="187" t="s">
        <v>683</v>
      </c>
      <c r="D221" s="187" t="s">
        <v>920</v>
      </c>
      <c r="E221" s="187" t="s">
        <v>123</v>
      </c>
      <c r="F221" s="188"/>
      <c r="G221" s="18"/>
      <c r="H221" s="18">
        <v>1100</v>
      </c>
      <c r="I221" s="189"/>
      <c r="J221" s="189">
        <f t="shared" si="15"/>
        <v>0</v>
      </c>
      <c r="K221" s="189">
        <f t="shared" si="14"/>
        <v>0</v>
      </c>
      <c r="L221" s="190" t="s">
        <v>551</v>
      </c>
    </row>
    <row r="222" spans="1:15" s="180" customFormat="1" ht="8.65" customHeight="1" x14ac:dyDescent="0.15">
      <c r="A222" s="187" t="s">
        <v>664</v>
      </c>
      <c r="B222" s="187" t="s">
        <v>742</v>
      </c>
      <c r="C222" s="187" t="s">
        <v>683</v>
      </c>
      <c r="D222" s="187" t="s">
        <v>743</v>
      </c>
      <c r="E222" s="187" t="s">
        <v>123</v>
      </c>
      <c r="F222" s="188"/>
      <c r="G222" s="18"/>
      <c r="H222" s="18">
        <v>3600</v>
      </c>
      <c r="I222" s="189"/>
      <c r="J222" s="189">
        <f t="shared" si="15"/>
        <v>0</v>
      </c>
      <c r="K222" s="189">
        <f t="shared" si="14"/>
        <v>0</v>
      </c>
      <c r="L222" s="190" t="s">
        <v>551</v>
      </c>
    </row>
    <row r="223" spans="1:15" s="180" customFormat="1" ht="8.65" customHeight="1" x14ac:dyDescent="0.15">
      <c r="A223" s="187" t="s">
        <v>664</v>
      </c>
      <c r="B223" s="187" t="s">
        <v>854</v>
      </c>
      <c r="C223" s="187" t="s">
        <v>683</v>
      </c>
      <c r="D223" s="187" t="s">
        <v>855</v>
      </c>
      <c r="E223" s="187" t="s">
        <v>123</v>
      </c>
      <c r="F223" s="188"/>
      <c r="G223" s="18"/>
      <c r="H223" s="18">
        <v>1000</v>
      </c>
      <c r="I223" s="189"/>
      <c r="J223" s="189">
        <f t="shared" si="15"/>
        <v>0</v>
      </c>
      <c r="K223" s="189">
        <f t="shared" si="14"/>
        <v>0</v>
      </c>
      <c r="L223" s="190" t="s">
        <v>551</v>
      </c>
    </row>
    <row r="224" spans="1:15" s="180" customFormat="1" ht="8.65" customHeight="1" x14ac:dyDescent="0.15">
      <c r="A224" s="187" t="s">
        <v>664</v>
      </c>
      <c r="B224" s="187" t="s">
        <v>946</v>
      </c>
      <c r="C224" s="187" t="s">
        <v>683</v>
      </c>
      <c r="D224" s="187" t="s">
        <v>947</v>
      </c>
      <c r="E224" s="187" t="s">
        <v>123</v>
      </c>
      <c r="F224" s="188"/>
      <c r="G224" s="18"/>
      <c r="H224" s="18">
        <v>5250</v>
      </c>
      <c r="I224" s="189"/>
      <c r="J224" s="189">
        <f t="shared" si="15"/>
        <v>0</v>
      </c>
      <c r="K224" s="189">
        <f t="shared" si="14"/>
        <v>0</v>
      </c>
      <c r="L224" s="190" t="s">
        <v>551</v>
      </c>
    </row>
    <row r="225" spans="1:17" s="180" customFormat="1" ht="8.65" customHeight="1" x14ac:dyDescent="0.15">
      <c r="A225" s="187" t="s">
        <v>664</v>
      </c>
      <c r="B225" s="187" t="s">
        <v>822</v>
      </c>
      <c r="C225" s="187" t="s">
        <v>683</v>
      </c>
      <c r="D225" s="187" t="s">
        <v>823</v>
      </c>
      <c r="E225" s="187" t="s">
        <v>123</v>
      </c>
      <c r="F225" s="188"/>
      <c r="G225" s="18"/>
      <c r="H225" s="18">
        <v>1900</v>
      </c>
      <c r="I225" s="189"/>
      <c r="J225" s="189">
        <f t="shared" si="15"/>
        <v>0</v>
      </c>
      <c r="K225" s="189">
        <f t="shared" si="14"/>
        <v>0</v>
      </c>
      <c r="L225" s="190" t="s">
        <v>551</v>
      </c>
    </row>
    <row r="226" spans="1:17" s="211" customFormat="1" ht="8.65" customHeight="1" x14ac:dyDescent="0.15">
      <c r="A226" s="187" t="s">
        <v>664</v>
      </c>
      <c r="B226" s="187" t="s">
        <v>948</v>
      </c>
      <c r="C226" s="187" t="s">
        <v>714</v>
      </c>
      <c r="D226" s="187" t="s">
        <v>949</v>
      </c>
      <c r="E226" s="187" t="s">
        <v>123</v>
      </c>
      <c r="F226" s="188"/>
      <c r="G226" s="18"/>
      <c r="H226" s="18"/>
      <c r="I226" s="189"/>
      <c r="J226" s="189">
        <v>40</v>
      </c>
      <c r="K226" s="189">
        <f t="shared" si="14"/>
        <v>40</v>
      </c>
      <c r="L226" s="190" t="s">
        <v>551</v>
      </c>
    </row>
    <row r="227" spans="1:17" s="180" customFormat="1" ht="8.65" customHeight="1" x14ac:dyDescent="0.15">
      <c r="A227" s="187" t="s">
        <v>664</v>
      </c>
      <c r="B227" s="187" t="s">
        <v>950</v>
      </c>
      <c r="C227" s="187" t="s">
        <v>714</v>
      </c>
      <c r="D227" s="187" t="s">
        <v>951</v>
      </c>
      <c r="E227" s="187" t="s">
        <v>123</v>
      </c>
      <c r="F227" s="188"/>
      <c r="G227" s="18"/>
      <c r="H227" s="18"/>
      <c r="I227" s="189"/>
      <c r="J227" s="189">
        <v>156000</v>
      </c>
      <c r="K227" s="189">
        <f t="shared" si="14"/>
        <v>156000</v>
      </c>
      <c r="L227" s="190" t="s">
        <v>551</v>
      </c>
    </row>
    <row r="228" spans="1:17" s="180" customFormat="1" ht="8.65" customHeight="1" x14ac:dyDescent="0.15">
      <c r="A228" s="187" t="s">
        <v>664</v>
      </c>
      <c r="B228" s="187" t="s">
        <v>952</v>
      </c>
      <c r="C228" s="187" t="s">
        <v>714</v>
      </c>
      <c r="D228" s="187" t="s">
        <v>953</v>
      </c>
      <c r="E228" s="187" t="s">
        <v>123</v>
      </c>
      <c r="F228" s="188"/>
      <c r="G228" s="18"/>
      <c r="H228" s="18">
        <v>19500</v>
      </c>
      <c r="I228" s="189"/>
      <c r="J228" s="189">
        <f>19500-H228</f>
        <v>0</v>
      </c>
      <c r="K228" s="189">
        <f t="shared" si="14"/>
        <v>0</v>
      </c>
      <c r="L228" s="190" t="s">
        <v>551</v>
      </c>
    </row>
    <row r="229" spans="1:17" s="180" customFormat="1" ht="8.65" customHeight="1" x14ac:dyDescent="0.15">
      <c r="A229" s="187" t="s">
        <v>664</v>
      </c>
      <c r="B229" s="187" t="s">
        <v>830</v>
      </c>
      <c r="C229" s="187" t="s">
        <v>683</v>
      </c>
      <c r="D229" s="187" t="s">
        <v>831</v>
      </c>
      <c r="E229" s="187" t="s">
        <v>123</v>
      </c>
      <c r="F229" s="188"/>
      <c r="G229" s="18"/>
      <c r="H229" s="18">
        <v>6000</v>
      </c>
      <c r="I229" s="189"/>
      <c r="J229" s="189">
        <f>6000-H229</f>
        <v>0</v>
      </c>
      <c r="K229" s="189">
        <f t="shared" si="14"/>
        <v>0</v>
      </c>
      <c r="L229" s="190" t="s">
        <v>551</v>
      </c>
    </row>
    <row r="230" spans="1:17" s="180" customFormat="1" ht="10.15" customHeight="1" x14ac:dyDescent="0.15">
      <c r="A230" s="270" t="s">
        <v>127</v>
      </c>
      <c r="B230" s="270"/>
      <c r="C230" s="270"/>
      <c r="D230" s="270"/>
      <c r="E230" s="270"/>
      <c r="F230" s="270"/>
      <c r="G230" s="191"/>
      <c r="H230" s="191"/>
      <c r="I230" s="192"/>
      <c r="J230" s="192">
        <f>SUM(J210:J229)</f>
        <v>288473</v>
      </c>
      <c r="K230" s="192">
        <f>SUM(K210:K229)</f>
        <v>288473</v>
      </c>
      <c r="L230" s="193"/>
    </row>
    <row r="231" spans="1:17" s="211" customFormat="1" ht="6" customHeight="1" x14ac:dyDescent="0.2">
      <c r="A231" s="213"/>
      <c r="B231" s="213"/>
      <c r="C231" s="213"/>
      <c r="D231" s="213"/>
      <c r="E231" s="213"/>
      <c r="F231" s="213"/>
      <c r="G231" s="213"/>
      <c r="H231" s="214"/>
      <c r="I231" s="215"/>
      <c r="J231" s="215"/>
      <c r="K231" s="215"/>
      <c r="L231" s="213"/>
      <c r="M231" s="213"/>
      <c r="N231" s="213"/>
      <c r="O231" s="213"/>
      <c r="P231" s="213"/>
      <c r="Q231" s="213"/>
    </row>
    <row r="232" spans="1:17" s="211" customFormat="1" ht="8.65" customHeight="1" x14ac:dyDescent="0.15">
      <c r="A232" s="187" t="s">
        <v>664</v>
      </c>
      <c r="B232" s="187" t="s">
        <v>954</v>
      </c>
      <c r="C232" s="187" t="s">
        <v>666</v>
      </c>
      <c r="D232" s="187" t="s">
        <v>955</v>
      </c>
      <c r="E232" s="187" t="s">
        <v>441</v>
      </c>
      <c r="F232" s="187" t="s">
        <v>440</v>
      </c>
      <c r="G232" s="18"/>
      <c r="H232" s="18">
        <v>1508</v>
      </c>
      <c r="I232" s="189"/>
      <c r="J232" s="189">
        <f>2250-H$232</f>
        <v>742</v>
      </c>
      <c r="K232" s="189">
        <f>+J232-I$232</f>
        <v>742</v>
      </c>
      <c r="L232" s="190" t="s">
        <v>551</v>
      </c>
    </row>
    <row r="233" spans="1:17" s="211" customFormat="1" ht="8.65" customHeight="1" x14ac:dyDescent="0.15">
      <c r="A233" s="187" t="s">
        <v>664</v>
      </c>
      <c r="B233" s="187" t="s">
        <v>665</v>
      </c>
      <c r="C233" s="187" t="s">
        <v>666</v>
      </c>
      <c r="D233" s="187" t="s">
        <v>667</v>
      </c>
      <c r="E233" s="187" t="s">
        <v>441</v>
      </c>
      <c r="F233" s="188"/>
      <c r="G233" s="18"/>
      <c r="H233" s="18">
        <v>20104</v>
      </c>
      <c r="I233" s="189"/>
      <c r="J233" s="189">
        <f>30000-H233</f>
        <v>9896</v>
      </c>
      <c r="K233" s="189">
        <f>+J233-I$233</f>
        <v>9896</v>
      </c>
      <c r="L233" s="190" t="s">
        <v>551</v>
      </c>
    </row>
    <row r="234" spans="1:17" s="211" customFormat="1" ht="8.65" customHeight="1" x14ac:dyDescent="0.15">
      <c r="A234" s="187" t="s">
        <v>664</v>
      </c>
      <c r="B234" s="187" t="s">
        <v>764</v>
      </c>
      <c r="C234" s="187" t="s">
        <v>666</v>
      </c>
      <c r="D234" s="187" t="s">
        <v>765</v>
      </c>
      <c r="E234" s="187" t="s">
        <v>441</v>
      </c>
      <c r="F234" s="188"/>
      <c r="G234" s="18"/>
      <c r="H234" s="18">
        <v>3016</v>
      </c>
      <c r="I234" s="189"/>
      <c r="J234" s="189">
        <f>4500-H234</f>
        <v>1484</v>
      </c>
      <c r="K234" s="189">
        <f>+J234-I$233</f>
        <v>1484</v>
      </c>
      <c r="L234" s="190" t="s">
        <v>551</v>
      </c>
    </row>
    <row r="235" spans="1:17" s="211" customFormat="1" ht="8.65" customHeight="1" x14ac:dyDescent="0.15">
      <c r="A235" s="187" t="s">
        <v>664</v>
      </c>
      <c r="B235" s="187" t="s">
        <v>771</v>
      </c>
      <c r="C235" s="187" t="s">
        <v>683</v>
      </c>
      <c r="D235" s="187" t="s">
        <v>772</v>
      </c>
      <c r="E235" s="187" t="s">
        <v>441</v>
      </c>
      <c r="F235" s="188"/>
      <c r="G235" s="18"/>
      <c r="H235" s="18">
        <v>1500</v>
      </c>
      <c r="I235" s="189"/>
      <c r="J235" s="189">
        <f>1500-H235</f>
        <v>0</v>
      </c>
      <c r="K235" s="189">
        <f t="shared" ref="K235:K254" si="16">+J235-I$233</f>
        <v>0</v>
      </c>
      <c r="L235" s="190" t="s">
        <v>551</v>
      </c>
    </row>
    <row r="236" spans="1:17" s="211" customFormat="1" ht="8.65" customHeight="1" x14ac:dyDescent="0.15">
      <c r="A236" s="187" t="s">
        <v>664</v>
      </c>
      <c r="B236" s="187" t="s">
        <v>682</v>
      </c>
      <c r="C236" s="187" t="s">
        <v>683</v>
      </c>
      <c r="D236" s="187" t="s">
        <v>684</v>
      </c>
      <c r="E236" s="187" t="s">
        <v>441</v>
      </c>
      <c r="F236" s="188"/>
      <c r="G236" s="18"/>
      <c r="H236" s="18">
        <v>1500</v>
      </c>
      <c r="I236" s="189"/>
      <c r="J236" s="189">
        <f>1500-H$236</f>
        <v>0</v>
      </c>
      <c r="K236" s="189">
        <f t="shared" si="16"/>
        <v>0</v>
      </c>
      <c r="L236" s="190" t="s">
        <v>551</v>
      </c>
    </row>
    <row r="237" spans="1:17" s="211" customFormat="1" ht="8.65" customHeight="1" x14ac:dyDescent="0.15">
      <c r="A237" s="187" t="s">
        <v>664</v>
      </c>
      <c r="B237" s="187" t="s">
        <v>685</v>
      </c>
      <c r="C237" s="187" t="s">
        <v>683</v>
      </c>
      <c r="D237" s="187" t="s">
        <v>686</v>
      </c>
      <c r="E237" s="187" t="s">
        <v>441</v>
      </c>
      <c r="F237" s="188"/>
      <c r="G237" s="18"/>
      <c r="H237" s="18">
        <v>800</v>
      </c>
      <c r="I237" s="189"/>
      <c r="J237" s="189">
        <f>1500-H$236</f>
        <v>0</v>
      </c>
      <c r="K237" s="189">
        <f t="shared" si="16"/>
        <v>0</v>
      </c>
      <c r="L237" s="190" t="s">
        <v>551</v>
      </c>
    </row>
    <row r="238" spans="1:17" s="216" customFormat="1" ht="8.65" customHeight="1" x14ac:dyDescent="0.15">
      <c r="A238" s="187" t="s">
        <v>664</v>
      </c>
      <c r="B238" s="187" t="s">
        <v>944</v>
      </c>
      <c r="C238" s="187" t="s">
        <v>666</v>
      </c>
      <c r="D238" s="187" t="s">
        <v>945</v>
      </c>
      <c r="E238" s="187" t="s">
        <v>441</v>
      </c>
      <c r="F238" s="188"/>
      <c r="G238" s="18"/>
      <c r="H238" s="18">
        <v>1608</v>
      </c>
      <c r="I238" s="189"/>
      <c r="J238" s="189">
        <f>2400-H238</f>
        <v>792</v>
      </c>
      <c r="K238" s="189">
        <f t="shared" si="16"/>
        <v>792</v>
      </c>
      <c r="L238" s="190" t="s">
        <v>551</v>
      </c>
    </row>
    <row r="239" spans="1:17" s="211" customFormat="1" ht="8.65" customHeight="1" x14ac:dyDescent="0.15">
      <c r="A239" s="187" t="s">
        <v>664</v>
      </c>
      <c r="B239" s="187" t="s">
        <v>956</v>
      </c>
      <c r="C239" s="187" t="s">
        <v>666</v>
      </c>
      <c r="D239" s="187" t="s">
        <v>957</v>
      </c>
      <c r="E239" s="187" t="s">
        <v>441</v>
      </c>
      <c r="F239" s="188"/>
      <c r="G239" s="18"/>
      <c r="H239" s="18">
        <v>2010</v>
      </c>
      <c r="I239" s="189"/>
      <c r="J239" s="189">
        <f>3000-H239</f>
        <v>990</v>
      </c>
      <c r="K239" s="189">
        <f t="shared" si="16"/>
        <v>990</v>
      </c>
      <c r="L239" s="190" t="s">
        <v>551</v>
      </c>
    </row>
    <row r="240" spans="1:17" s="211" customFormat="1" ht="8.65" customHeight="1" x14ac:dyDescent="0.15">
      <c r="A240" s="187" t="s">
        <v>664</v>
      </c>
      <c r="B240" s="187" t="s">
        <v>738</v>
      </c>
      <c r="C240" s="187" t="s">
        <v>683</v>
      </c>
      <c r="D240" s="187" t="s">
        <v>739</v>
      </c>
      <c r="E240" s="187" t="s">
        <v>441</v>
      </c>
      <c r="F240" s="188"/>
      <c r="G240" s="18"/>
      <c r="H240" s="18">
        <v>1200</v>
      </c>
      <c r="I240" s="189"/>
      <c r="J240" s="189">
        <f>1200-H$240</f>
        <v>0</v>
      </c>
      <c r="K240" s="189">
        <f t="shared" si="16"/>
        <v>0</v>
      </c>
      <c r="L240" s="190" t="s">
        <v>551</v>
      </c>
    </row>
    <row r="241" spans="1:17" s="211" customFormat="1" ht="8.65" customHeight="1" x14ac:dyDescent="0.15">
      <c r="A241" s="187" t="s">
        <v>664</v>
      </c>
      <c r="B241" s="187" t="s">
        <v>691</v>
      </c>
      <c r="C241" s="187" t="s">
        <v>683</v>
      </c>
      <c r="D241" s="187" t="s">
        <v>692</v>
      </c>
      <c r="E241" s="187" t="s">
        <v>441</v>
      </c>
      <c r="F241" s="188"/>
      <c r="G241" s="18"/>
      <c r="H241" s="18">
        <v>610</v>
      </c>
      <c r="I241" s="189"/>
      <c r="J241" s="189">
        <f>1200-H$240</f>
        <v>0</v>
      </c>
      <c r="K241" s="189">
        <f t="shared" si="16"/>
        <v>0</v>
      </c>
      <c r="L241" s="190" t="s">
        <v>551</v>
      </c>
    </row>
    <row r="242" spans="1:17" s="211" customFormat="1" ht="8.65" customHeight="1" x14ac:dyDescent="0.15">
      <c r="A242" s="187" t="s">
        <v>664</v>
      </c>
      <c r="B242" s="187" t="s">
        <v>958</v>
      </c>
      <c r="C242" s="187" t="s">
        <v>666</v>
      </c>
      <c r="D242" s="187" t="s">
        <v>959</v>
      </c>
      <c r="E242" s="187" t="s">
        <v>441</v>
      </c>
      <c r="F242" s="188"/>
      <c r="G242" s="18"/>
      <c r="H242" s="18">
        <v>2681</v>
      </c>
      <c r="I242" s="189"/>
      <c r="J242" s="189">
        <f>4000-H242</f>
        <v>1319</v>
      </c>
      <c r="K242" s="189">
        <f t="shared" si="16"/>
        <v>1319</v>
      </c>
      <c r="L242" s="190" t="s">
        <v>551</v>
      </c>
    </row>
    <row r="243" spans="1:17" s="211" customFormat="1" ht="8.65" customHeight="1" x14ac:dyDescent="0.15">
      <c r="A243" s="187" t="s">
        <v>664</v>
      </c>
      <c r="B243" s="187" t="s">
        <v>799</v>
      </c>
      <c r="C243" s="187" t="s">
        <v>666</v>
      </c>
      <c r="D243" s="187" t="s">
        <v>800</v>
      </c>
      <c r="E243" s="187" t="s">
        <v>441</v>
      </c>
      <c r="F243" s="188"/>
      <c r="G243" s="18"/>
      <c r="H243" s="18">
        <v>6031</v>
      </c>
      <c r="I243" s="189"/>
      <c r="J243" s="189">
        <f>9000-H243</f>
        <v>2969</v>
      </c>
      <c r="K243" s="189">
        <f t="shared" si="16"/>
        <v>2969</v>
      </c>
      <c r="L243" s="190" t="s">
        <v>551</v>
      </c>
    </row>
    <row r="244" spans="1:17" s="211" customFormat="1" ht="8.65" customHeight="1" x14ac:dyDescent="0.15">
      <c r="A244" s="187" t="s">
        <v>664</v>
      </c>
      <c r="B244" s="187" t="s">
        <v>960</v>
      </c>
      <c r="C244" s="187" t="s">
        <v>683</v>
      </c>
      <c r="D244" s="187" t="s">
        <v>961</v>
      </c>
      <c r="E244" s="187" t="s">
        <v>441</v>
      </c>
      <c r="F244" s="188"/>
      <c r="G244" s="18"/>
      <c r="H244" s="18">
        <v>480</v>
      </c>
      <c r="I244" s="189"/>
      <c r="J244" s="189">
        <f>480-H$244</f>
        <v>0</v>
      </c>
      <c r="K244" s="189">
        <f t="shared" si="16"/>
        <v>0</v>
      </c>
      <c r="L244" s="190" t="s">
        <v>551</v>
      </c>
    </row>
    <row r="245" spans="1:17" s="211" customFormat="1" ht="8.65" customHeight="1" x14ac:dyDescent="0.15">
      <c r="A245" s="187" t="s">
        <v>664</v>
      </c>
      <c r="B245" s="187" t="s">
        <v>803</v>
      </c>
      <c r="C245" s="187" t="s">
        <v>683</v>
      </c>
      <c r="D245" s="187" t="s">
        <v>869</v>
      </c>
      <c r="E245" s="187" t="s">
        <v>441</v>
      </c>
      <c r="F245" s="188"/>
      <c r="G245" s="18"/>
      <c r="H245" s="18">
        <v>3000</v>
      </c>
      <c r="I245" s="189"/>
      <c r="J245" s="189">
        <f t="shared" ref="J245:J247" si="17">480-H$244</f>
        <v>0</v>
      </c>
      <c r="K245" s="189">
        <f t="shared" si="16"/>
        <v>0</v>
      </c>
      <c r="L245" s="190" t="s">
        <v>551</v>
      </c>
    </row>
    <row r="246" spans="1:17" s="211" customFormat="1" ht="8.65" customHeight="1" x14ac:dyDescent="0.15">
      <c r="A246" s="187" t="s">
        <v>664</v>
      </c>
      <c r="B246" s="187" t="s">
        <v>746</v>
      </c>
      <c r="C246" s="187" t="s">
        <v>683</v>
      </c>
      <c r="D246" s="187" t="s">
        <v>962</v>
      </c>
      <c r="E246" s="187" t="s">
        <v>441</v>
      </c>
      <c r="F246" s="188"/>
      <c r="G246" s="18"/>
      <c r="H246" s="18">
        <v>110</v>
      </c>
      <c r="I246" s="189"/>
      <c r="J246" s="189">
        <f t="shared" si="17"/>
        <v>0</v>
      </c>
      <c r="K246" s="189">
        <f t="shared" si="16"/>
        <v>0</v>
      </c>
      <c r="L246" s="190" t="s">
        <v>551</v>
      </c>
    </row>
    <row r="247" spans="1:17" s="211" customFormat="1" ht="8.65" customHeight="1" x14ac:dyDescent="0.15">
      <c r="A247" s="187" t="s">
        <v>664</v>
      </c>
      <c r="B247" s="187" t="s">
        <v>854</v>
      </c>
      <c r="C247" s="187" t="s">
        <v>683</v>
      </c>
      <c r="D247" s="187" t="s">
        <v>855</v>
      </c>
      <c r="E247" s="187" t="s">
        <v>441</v>
      </c>
      <c r="F247" s="188"/>
      <c r="G247" s="18"/>
      <c r="H247" s="18">
        <v>960</v>
      </c>
      <c r="I247" s="189"/>
      <c r="J247" s="189">
        <f t="shared" si="17"/>
        <v>0</v>
      </c>
      <c r="K247" s="189">
        <f t="shared" si="16"/>
        <v>0</v>
      </c>
      <c r="L247" s="190" t="s">
        <v>551</v>
      </c>
    </row>
    <row r="248" spans="1:17" s="211" customFormat="1" ht="8.65" customHeight="1" x14ac:dyDescent="0.15">
      <c r="A248" s="187" t="s">
        <v>664</v>
      </c>
      <c r="B248" s="187" t="s">
        <v>702</v>
      </c>
      <c r="C248" s="187" t="s">
        <v>666</v>
      </c>
      <c r="D248" s="187" t="s">
        <v>963</v>
      </c>
      <c r="E248" s="187" t="s">
        <v>441</v>
      </c>
      <c r="F248" s="188"/>
      <c r="G248" s="18"/>
      <c r="H248" s="18">
        <v>4021</v>
      </c>
      <c r="I248" s="189"/>
      <c r="J248" s="189">
        <f>6000-H248</f>
        <v>1979</v>
      </c>
      <c r="K248" s="189">
        <f t="shared" si="16"/>
        <v>1979</v>
      </c>
      <c r="L248" s="190" t="s">
        <v>551</v>
      </c>
    </row>
    <row r="249" spans="1:17" s="211" customFormat="1" ht="8.65" customHeight="1" x14ac:dyDescent="0.15">
      <c r="A249" s="187" t="s">
        <v>664</v>
      </c>
      <c r="B249" s="187" t="s">
        <v>964</v>
      </c>
      <c r="C249" s="187" t="s">
        <v>683</v>
      </c>
      <c r="D249" s="187" t="s">
        <v>965</v>
      </c>
      <c r="E249" s="187" t="s">
        <v>441</v>
      </c>
      <c r="F249" s="188"/>
      <c r="G249" s="18"/>
      <c r="H249" s="18">
        <v>5000</v>
      </c>
      <c r="I249" s="189"/>
      <c r="J249" s="189">
        <f>5000-H$249</f>
        <v>0</v>
      </c>
      <c r="K249" s="189">
        <f t="shared" si="16"/>
        <v>0</v>
      </c>
      <c r="L249" s="190" t="s">
        <v>551</v>
      </c>
    </row>
    <row r="250" spans="1:17" s="211" customFormat="1" ht="8.65" customHeight="1" x14ac:dyDescent="0.15">
      <c r="A250" s="187" t="s">
        <v>664</v>
      </c>
      <c r="B250" s="187" t="s">
        <v>704</v>
      </c>
      <c r="C250" s="187" t="s">
        <v>683</v>
      </c>
      <c r="D250" s="187" t="s">
        <v>966</v>
      </c>
      <c r="E250" s="187" t="s">
        <v>441</v>
      </c>
      <c r="F250" s="188"/>
      <c r="G250" s="18"/>
      <c r="H250" s="18">
        <v>800</v>
      </c>
      <c r="I250" s="189"/>
      <c r="J250" s="189">
        <f t="shared" ref="J250:J254" si="18">5000-H$249</f>
        <v>0</v>
      </c>
      <c r="K250" s="189">
        <f t="shared" si="16"/>
        <v>0</v>
      </c>
      <c r="L250" s="190" t="s">
        <v>551</v>
      </c>
    </row>
    <row r="251" spans="1:17" s="211" customFormat="1" ht="8.65" customHeight="1" x14ac:dyDescent="0.15">
      <c r="A251" s="187" t="s">
        <v>664</v>
      </c>
      <c r="B251" s="187" t="s">
        <v>875</v>
      </c>
      <c r="C251" s="187" t="s">
        <v>683</v>
      </c>
      <c r="D251" s="187" t="s">
        <v>876</v>
      </c>
      <c r="E251" s="187" t="s">
        <v>441</v>
      </c>
      <c r="F251" s="188"/>
      <c r="G251" s="18"/>
      <c r="H251" s="18">
        <v>900</v>
      </c>
      <c r="I251" s="189"/>
      <c r="J251" s="189">
        <f t="shared" si="18"/>
        <v>0</v>
      </c>
      <c r="K251" s="189">
        <f t="shared" si="16"/>
        <v>0</v>
      </c>
      <c r="L251" s="190" t="s">
        <v>551</v>
      </c>
    </row>
    <row r="252" spans="1:17" s="211" customFormat="1" ht="8.65" customHeight="1" x14ac:dyDescent="0.15">
      <c r="A252" s="187" t="s">
        <v>664</v>
      </c>
      <c r="B252" s="187" t="s">
        <v>822</v>
      </c>
      <c r="C252" s="187" t="s">
        <v>683</v>
      </c>
      <c r="D252" s="187" t="s">
        <v>823</v>
      </c>
      <c r="E252" s="187" t="s">
        <v>441</v>
      </c>
      <c r="F252" s="188"/>
      <c r="G252" s="18"/>
      <c r="H252" s="18">
        <v>1080</v>
      </c>
      <c r="I252" s="189"/>
      <c r="J252" s="189">
        <f t="shared" si="18"/>
        <v>0</v>
      </c>
      <c r="K252" s="189">
        <f t="shared" si="16"/>
        <v>0</v>
      </c>
      <c r="L252" s="190" t="s">
        <v>551</v>
      </c>
    </row>
    <row r="253" spans="1:17" s="211" customFormat="1" ht="8.65" customHeight="1" x14ac:dyDescent="0.15">
      <c r="A253" s="187" t="s">
        <v>664</v>
      </c>
      <c r="B253" s="187" t="s">
        <v>824</v>
      </c>
      <c r="C253" s="187" t="s">
        <v>683</v>
      </c>
      <c r="D253" s="187" t="s">
        <v>967</v>
      </c>
      <c r="E253" s="187" t="s">
        <v>441</v>
      </c>
      <c r="F253" s="188"/>
      <c r="G253" s="18"/>
      <c r="H253" s="18">
        <v>1040</v>
      </c>
      <c r="I253" s="189"/>
      <c r="J253" s="189">
        <f t="shared" si="18"/>
        <v>0</v>
      </c>
      <c r="K253" s="189">
        <f t="shared" si="16"/>
        <v>0</v>
      </c>
      <c r="L253" s="190" t="s">
        <v>551</v>
      </c>
    </row>
    <row r="254" spans="1:17" s="211" customFormat="1" ht="8.65" customHeight="1" x14ac:dyDescent="0.15">
      <c r="A254" s="187" t="s">
        <v>664</v>
      </c>
      <c r="B254" s="187" t="s">
        <v>830</v>
      </c>
      <c r="C254" s="187" t="s">
        <v>683</v>
      </c>
      <c r="D254" s="187" t="s">
        <v>831</v>
      </c>
      <c r="E254" s="187" t="s">
        <v>441</v>
      </c>
      <c r="F254" s="188"/>
      <c r="G254" s="18"/>
      <c r="H254" s="18">
        <v>1520</v>
      </c>
      <c r="I254" s="189"/>
      <c r="J254" s="189">
        <f t="shared" si="18"/>
        <v>0</v>
      </c>
      <c r="K254" s="189">
        <f t="shared" si="16"/>
        <v>0</v>
      </c>
      <c r="L254" s="190" t="s">
        <v>551</v>
      </c>
    </row>
    <row r="255" spans="1:17" s="180" customFormat="1" ht="10.15" customHeight="1" x14ac:dyDescent="0.15">
      <c r="A255" s="274" t="s">
        <v>439</v>
      </c>
      <c r="B255" s="274"/>
      <c r="C255" s="274"/>
      <c r="D255" s="274"/>
      <c r="E255" s="274"/>
      <c r="F255" s="274"/>
      <c r="G255" s="217"/>
      <c r="H255" s="217"/>
      <c r="I255" s="218"/>
      <c r="J255" s="218">
        <f>SUM(J232:J254)</f>
        <v>20171</v>
      </c>
      <c r="K255" s="218">
        <f>SUM(K232:K254)</f>
        <v>20171</v>
      </c>
      <c r="L255" s="219"/>
    </row>
    <row r="256" spans="1:17" s="180" customFormat="1" ht="3" customHeight="1" x14ac:dyDescent="0.2">
      <c r="A256" s="197"/>
      <c r="B256" s="197"/>
      <c r="C256" s="197"/>
      <c r="D256" s="197"/>
      <c r="E256" s="197"/>
      <c r="F256" s="197"/>
      <c r="G256" s="197"/>
      <c r="H256" s="198"/>
      <c r="I256" s="199"/>
      <c r="J256" s="199"/>
      <c r="K256" s="199"/>
      <c r="L256" s="197"/>
      <c r="M256" s="197"/>
      <c r="N256" s="197"/>
      <c r="O256" s="197"/>
      <c r="P256" s="197"/>
      <c r="Q256" s="197"/>
    </row>
    <row r="257" spans="1:12" s="180" customFormat="1" ht="12" customHeight="1" x14ac:dyDescent="0.15">
      <c r="A257" s="187" t="s">
        <v>664</v>
      </c>
      <c r="B257" s="187" t="s">
        <v>665</v>
      </c>
      <c r="C257" s="187" t="s">
        <v>666</v>
      </c>
      <c r="D257" s="187" t="s">
        <v>667</v>
      </c>
      <c r="E257" s="187" t="s">
        <v>128</v>
      </c>
      <c r="F257" s="187" t="s">
        <v>412</v>
      </c>
      <c r="G257" s="18"/>
      <c r="H257" s="18">
        <v>360000</v>
      </c>
      <c r="I257" s="189"/>
      <c r="J257" s="189">
        <f>360000-H257</f>
        <v>0</v>
      </c>
      <c r="K257" s="189">
        <f>+J257-I257</f>
        <v>0</v>
      </c>
      <c r="L257" s="190" t="s">
        <v>551</v>
      </c>
    </row>
    <row r="258" spans="1:12" s="180" customFormat="1" ht="8.65" customHeight="1" x14ac:dyDescent="0.15">
      <c r="A258" s="187" t="s">
        <v>664</v>
      </c>
      <c r="B258" s="187" t="s">
        <v>764</v>
      </c>
      <c r="C258" s="187" t="s">
        <v>666</v>
      </c>
      <c r="D258" s="187" t="s">
        <v>765</v>
      </c>
      <c r="E258" s="187" t="s">
        <v>128</v>
      </c>
      <c r="F258" s="188"/>
      <c r="G258" s="18"/>
      <c r="H258" s="18">
        <v>30000</v>
      </c>
      <c r="I258" s="189"/>
      <c r="J258" s="189">
        <f>30000-H$258</f>
        <v>0</v>
      </c>
      <c r="K258" s="189">
        <f>+J258+I$258</f>
        <v>0</v>
      </c>
      <c r="L258" s="190" t="s">
        <v>551</v>
      </c>
    </row>
    <row r="259" spans="1:12" s="180" customFormat="1" ht="8.65" customHeight="1" x14ac:dyDescent="0.15">
      <c r="A259" s="187" t="s">
        <v>664</v>
      </c>
      <c r="B259" s="187" t="s">
        <v>670</v>
      </c>
      <c r="C259" s="187" t="s">
        <v>666</v>
      </c>
      <c r="D259" s="187" t="s">
        <v>671</v>
      </c>
      <c r="E259" s="187" t="s">
        <v>128</v>
      </c>
      <c r="F259" s="188"/>
      <c r="G259" s="18"/>
      <c r="H259" s="18">
        <v>30000</v>
      </c>
      <c r="I259" s="189"/>
      <c r="J259" s="189">
        <f t="shared" ref="J259:J301" si="19">30000-H$258</f>
        <v>0</v>
      </c>
      <c r="K259" s="189">
        <f t="shared" ref="K259:K301" si="20">+J259+I$258</f>
        <v>0</v>
      </c>
      <c r="L259" s="190" t="s">
        <v>551</v>
      </c>
    </row>
    <row r="260" spans="1:12" s="180" customFormat="1" ht="8.65" customHeight="1" x14ac:dyDescent="0.15">
      <c r="A260" s="187" t="s">
        <v>664</v>
      </c>
      <c r="B260" s="187" t="s">
        <v>941</v>
      </c>
      <c r="C260" s="187" t="s">
        <v>942</v>
      </c>
      <c r="D260" s="187" t="s">
        <v>968</v>
      </c>
      <c r="E260" s="187" t="s">
        <v>128</v>
      </c>
      <c r="F260" s="188"/>
      <c r="G260" s="18"/>
      <c r="H260" s="18">
        <v>279722335</v>
      </c>
      <c r="I260" s="189"/>
      <c r="J260" s="189">
        <f t="shared" si="19"/>
        <v>0</v>
      </c>
      <c r="K260" s="189">
        <f t="shared" si="20"/>
        <v>0</v>
      </c>
      <c r="L260" s="190" t="s">
        <v>551</v>
      </c>
    </row>
    <row r="261" spans="1:12" s="180" customFormat="1" ht="8.65" customHeight="1" x14ac:dyDescent="0.15">
      <c r="A261" s="187" t="s">
        <v>664</v>
      </c>
      <c r="B261" s="187" t="s">
        <v>771</v>
      </c>
      <c r="C261" s="187" t="s">
        <v>683</v>
      </c>
      <c r="D261" s="187" t="s">
        <v>772</v>
      </c>
      <c r="E261" s="187" t="s">
        <v>128</v>
      </c>
      <c r="F261" s="188"/>
      <c r="G261" s="18"/>
      <c r="H261" s="18">
        <v>3000</v>
      </c>
      <c r="I261" s="189"/>
      <c r="J261" s="189">
        <f t="shared" si="19"/>
        <v>0</v>
      </c>
      <c r="K261" s="189">
        <f t="shared" si="20"/>
        <v>0</v>
      </c>
      <c r="L261" s="190" t="s">
        <v>551</v>
      </c>
    </row>
    <row r="262" spans="1:12" s="180" customFormat="1" ht="8.65" customHeight="1" x14ac:dyDescent="0.15">
      <c r="A262" s="187" t="s">
        <v>664</v>
      </c>
      <c r="B262" s="187" t="s">
        <v>682</v>
      </c>
      <c r="C262" s="187" t="s">
        <v>683</v>
      </c>
      <c r="D262" s="187" t="s">
        <v>684</v>
      </c>
      <c r="E262" s="187" t="s">
        <v>128</v>
      </c>
      <c r="F262" s="188"/>
      <c r="G262" s="18"/>
      <c r="H262" s="18">
        <v>3000</v>
      </c>
      <c r="I262" s="189"/>
      <c r="J262" s="189">
        <f t="shared" si="19"/>
        <v>0</v>
      </c>
      <c r="K262" s="189">
        <f t="shared" si="20"/>
        <v>0</v>
      </c>
      <c r="L262" s="190" t="s">
        <v>551</v>
      </c>
    </row>
    <row r="263" spans="1:12" s="180" customFormat="1" ht="8.65" customHeight="1" x14ac:dyDescent="0.15">
      <c r="A263" s="187" t="s">
        <v>664</v>
      </c>
      <c r="B263" s="187" t="s">
        <v>773</v>
      </c>
      <c r="C263" s="187" t="s">
        <v>683</v>
      </c>
      <c r="D263" s="187" t="s">
        <v>774</v>
      </c>
      <c r="E263" s="187" t="s">
        <v>128</v>
      </c>
      <c r="F263" s="188"/>
      <c r="G263" s="18"/>
      <c r="H263" s="18">
        <v>3000</v>
      </c>
      <c r="I263" s="189"/>
      <c r="J263" s="189">
        <f t="shared" si="19"/>
        <v>0</v>
      </c>
      <c r="K263" s="189">
        <f t="shared" si="20"/>
        <v>0</v>
      </c>
      <c r="L263" s="190" t="s">
        <v>551</v>
      </c>
    </row>
    <row r="264" spans="1:12" s="180" customFormat="1" ht="8.65" customHeight="1" x14ac:dyDescent="0.15">
      <c r="A264" s="187" t="s">
        <v>664</v>
      </c>
      <c r="B264" s="187" t="s">
        <v>685</v>
      </c>
      <c r="C264" s="187" t="s">
        <v>683</v>
      </c>
      <c r="D264" s="187" t="s">
        <v>686</v>
      </c>
      <c r="E264" s="187" t="s">
        <v>128</v>
      </c>
      <c r="F264" s="188"/>
      <c r="G264" s="18"/>
      <c r="H264" s="18">
        <v>3000</v>
      </c>
      <c r="I264" s="189"/>
      <c r="J264" s="189">
        <f t="shared" si="19"/>
        <v>0</v>
      </c>
      <c r="K264" s="189">
        <f t="shared" si="20"/>
        <v>0</v>
      </c>
      <c r="L264" s="190" t="s">
        <v>551</v>
      </c>
    </row>
    <row r="265" spans="1:12" s="180" customFormat="1" ht="8.65" customHeight="1" x14ac:dyDescent="0.15">
      <c r="A265" s="187" t="s">
        <v>664</v>
      </c>
      <c r="B265" s="187" t="s">
        <v>969</v>
      </c>
      <c r="C265" s="187" t="s">
        <v>683</v>
      </c>
      <c r="D265" s="187" t="s">
        <v>970</v>
      </c>
      <c r="E265" s="187" t="s">
        <v>128</v>
      </c>
      <c r="F265" s="188"/>
      <c r="G265" s="18"/>
      <c r="H265" s="18">
        <v>2700</v>
      </c>
      <c r="I265" s="189"/>
      <c r="J265" s="189">
        <f t="shared" si="19"/>
        <v>0</v>
      </c>
      <c r="K265" s="189">
        <f t="shared" si="20"/>
        <v>0</v>
      </c>
      <c r="L265" s="190" t="s">
        <v>551</v>
      </c>
    </row>
    <row r="266" spans="1:12" s="180" customFormat="1" ht="8.65" customHeight="1" x14ac:dyDescent="0.15">
      <c r="A266" s="187" t="s">
        <v>664</v>
      </c>
      <c r="B266" s="187" t="s">
        <v>971</v>
      </c>
      <c r="C266" s="187" t="s">
        <v>666</v>
      </c>
      <c r="D266" s="187" t="s">
        <v>972</v>
      </c>
      <c r="E266" s="187" t="s">
        <v>128</v>
      </c>
      <c r="F266" s="188"/>
      <c r="G266" s="18"/>
      <c r="H266" s="18">
        <v>20000</v>
      </c>
      <c r="I266" s="189"/>
      <c r="J266" s="189">
        <f t="shared" si="19"/>
        <v>0</v>
      </c>
      <c r="K266" s="189">
        <f t="shared" si="20"/>
        <v>0</v>
      </c>
      <c r="L266" s="190" t="s">
        <v>551</v>
      </c>
    </row>
    <row r="267" spans="1:12" s="180" customFormat="1" ht="8.65" customHeight="1" x14ac:dyDescent="0.15">
      <c r="A267" s="187" t="s">
        <v>664</v>
      </c>
      <c r="B267" s="187" t="s">
        <v>973</v>
      </c>
      <c r="C267" s="187" t="s">
        <v>666</v>
      </c>
      <c r="D267" s="187" t="s">
        <v>974</v>
      </c>
      <c r="E267" s="187" t="s">
        <v>128</v>
      </c>
      <c r="F267" s="188"/>
      <c r="G267" s="18"/>
      <c r="H267" s="18">
        <v>12000</v>
      </c>
      <c r="I267" s="189"/>
      <c r="J267" s="189">
        <f t="shared" si="19"/>
        <v>0</v>
      </c>
      <c r="K267" s="189">
        <f t="shared" si="20"/>
        <v>0</v>
      </c>
      <c r="L267" s="190" t="s">
        <v>551</v>
      </c>
    </row>
    <row r="268" spans="1:12" s="180" customFormat="1" ht="8.65" customHeight="1" x14ac:dyDescent="0.15">
      <c r="A268" s="187" t="s">
        <v>664</v>
      </c>
      <c r="B268" s="187" t="s">
        <v>975</v>
      </c>
      <c r="C268" s="187" t="s">
        <v>666</v>
      </c>
      <c r="D268" s="187" t="s">
        <v>976</v>
      </c>
      <c r="E268" s="187" t="s">
        <v>128</v>
      </c>
      <c r="F268" s="188"/>
      <c r="G268" s="18"/>
      <c r="H268" s="18">
        <v>1500</v>
      </c>
      <c r="I268" s="189"/>
      <c r="J268" s="189">
        <f t="shared" si="19"/>
        <v>0</v>
      </c>
      <c r="K268" s="189">
        <f t="shared" si="20"/>
        <v>0</v>
      </c>
      <c r="L268" s="190" t="s">
        <v>551</v>
      </c>
    </row>
    <row r="269" spans="1:12" s="180" customFormat="1" ht="8.65" customHeight="1" x14ac:dyDescent="0.15">
      <c r="A269" s="187" t="s">
        <v>664</v>
      </c>
      <c r="B269" s="187" t="s">
        <v>777</v>
      </c>
      <c r="C269" s="187" t="s">
        <v>683</v>
      </c>
      <c r="D269" s="187" t="s">
        <v>778</v>
      </c>
      <c r="E269" s="187" t="s">
        <v>128</v>
      </c>
      <c r="F269" s="188"/>
      <c r="G269" s="18"/>
      <c r="H269" s="18">
        <v>8400</v>
      </c>
      <c r="I269" s="189"/>
      <c r="J269" s="189">
        <f t="shared" si="19"/>
        <v>0</v>
      </c>
      <c r="K269" s="189">
        <f t="shared" si="20"/>
        <v>0</v>
      </c>
      <c r="L269" s="190" t="s">
        <v>551</v>
      </c>
    </row>
    <row r="270" spans="1:12" s="180" customFormat="1" ht="8.65" customHeight="1" x14ac:dyDescent="0.15">
      <c r="A270" s="187" t="s">
        <v>664</v>
      </c>
      <c r="B270" s="187" t="s">
        <v>691</v>
      </c>
      <c r="C270" s="187" t="s">
        <v>683</v>
      </c>
      <c r="D270" s="187" t="s">
        <v>692</v>
      </c>
      <c r="E270" s="187" t="s">
        <v>128</v>
      </c>
      <c r="F270" s="188"/>
      <c r="G270" s="18"/>
      <c r="H270" s="18">
        <v>1830</v>
      </c>
      <c r="I270" s="189"/>
      <c r="J270" s="189">
        <f t="shared" si="19"/>
        <v>0</v>
      </c>
      <c r="K270" s="189">
        <f t="shared" si="20"/>
        <v>0</v>
      </c>
      <c r="L270" s="190" t="s">
        <v>551</v>
      </c>
    </row>
    <row r="271" spans="1:12" s="180" customFormat="1" ht="8.65" customHeight="1" x14ac:dyDescent="0.15">
      <c r="A271" s="187" t="s">
        <v>664</v>
      </c>
      <c r="B271" s="187" t="s">
        <v>977</v>
      </c>
      <c r="C271" s="187" t="s">
        <v>683</v>
      </c>
      <c r="D271" s="187" t="s">
        <v>978</v>
      </c>
      <c r="E271" s="187" t="s">
        <v>128</v>
      </c>
      <c r="F271" s="188"/>
      <c r="G271" s="18"/>
      <c r="H271" s="18">
        <v>27000</v>
      </c>
      <c r="I271" s="189"/>
      <c r="J271" s="189">
        <f t="shared" si="19"/>
        <v>0</v>
      </c>
      <c r="K271" s="189">
        <f t="shared" si="20"/>
        <v>0</v>
      </c>
      <c r="L271" s="190" t="s">
        <v>551</v>
      </c>
    </row>
    <row r="272" spans="1:12" s="180" customFormat="1" ht="8.65" customHeight="1" x14ac:dyDescent="0.15">
      <c r="A272" s="187" t="s">
        <v>664</v>
      </c>
      <c r="B272" s="187" t="s">
        <v>844</v>
      </c>
      <c r="C272" s="187" t="s">
        <v>683</v>
      </c>
      <c r="D272" s="187" t="s">
        <v>845</v>
      </c>
      <c r="E272" s="187" t="s">
        <v>128</v>
      </c>
      <c r="F272" s="188"/>
      <c r="G272" s="18"/>
      <c r="H272" s="18">
        <v>50000</v>
      </c>
      <c r="I272" s="189"/>
      <c r="J272" s="189">
        <f t="shared" si="19"/>
        <v>0</v>
      </c>
      <c r="K272" s="189">
        <f t="shared" si="20"/>
        <v>0</v>
      </c>
      <c r="L272" s="190" t="s">
        <v>551</v>
      </c>
    </row>
    <row r="273" spans="1:12" s="180" customFormat="1" ht="8.65" customHeight="1" x14ac:dyDescent="0.15">
      <c r="A273" s="187" t="s">
        <v>664</v>
      </c>
      <c r="B273" s="187" t="s">
        <v>797</v>
      </c>
      <c r="C273" s="187" t="s">
        <v>683</v>
      </c>
      <c r="D273" s="187" t="s">
        <v>979</v>
      </c>
      <c r="E273" s="187" t="s">
        <v>128</v>
      </c>
      <c r="F273" s="188"/>
      <c r="G273" s="18"/>
      <c r="H273" s="18">
        <v>1700</v>
      </c>
      <c r="I273" s="189"/>
      <c r="J273" s="189">
        <f t="shared" si="19"/>
        <v>0</v>
      </c>
      <c r="K273" s="189">
        <f t="shared" si="20"/>
        <v>0</v>
      </c>
      <c r="L273" s="190" t="s">
        <v>551</v>
      </c>
    </row>
    <row r="274" spans="1:12" s="180" customFormat="1" ht="8.65" customHeight="1" x14ac:dyDescent="0.15">
      <c r="A274" s="187" t="s">
        <v>664</v>
      </c>
      <c r="B274" s="187" t="s">
        <v>980</v>
      </c>
      <c r="C274" s="187" t="s">
        <v>683</v>
      </c>
      <c r="D274" s="187" t="s">
        <v>981</v>
      </c>
      <c r="E274" s="187" t="s">
        <v>128</v>
      </c>
      <c r="F274" s="188"/>
      <c r="G274" s="18"/>
      <c r="H274" s="18">
        <v>1300</v>
      </c>
      <c r="I274" s="189"/>
      <c r="J274" s="189">
        <f t="shared" si="19"/>
        <v>0</v>
      </c>
      <c r="K274" s="189">
        <f t="shared" si="20"/>
        <v>0</v>
      </c>
      <c r="L274" s="190" t="s">
        <v>551</v>
      </c>
    </row>
    <row r="275" spans="1:12" s="220" customFormat="1" ht="8.65" customHeight="1" x14ac:dyDescent="0.15">
      <c r="A275" s="187" t="s">
        <v>664</v>
      </c>
      <c r="B275" s="187" t="s">
        <v>799</v>
      </c>
      <c r="C275" s="187" t="s">
        <v>666</v>
      </c>
      <c r="D275" s="187" t="s">
        <v>800</v>
      </c>
      <c r="E275" s="187" t="s">
        <v>128</v>
      </c>
      <c r="F275" s="188"/>
      <c r="G275" s="18"/>
      <c r="H275" s="18">
        <f>217+179783</f>
        <v>180000</v>
      </c>
      <c r="I275" s="189"/>
      <c r="J275" s="189">
        <f t="shared" si="19"/>
        <v>0</v>
      </c>
      <c r="K275" s="189">
        <f t="shared" si="20"/>
        <v>0</v>
      </c>
      <c r="L275" s="190" t="s">
        <v>551</v>
      </c>
    </row>
    <row r="276" spans="1:12" s="180" customFormat="1" ht="8.65" customHeight="1" x14ac:dyDescent="0.15">
      <c r="A276" s="187" t="s">
        <v>664</v>
      </c>
      <c r="B276" s="187" t="s">
        <v>960</v>
      </c>
      <c r="C276" s="187" t="s">
        <v>683</v>
      </c>
      <c r="D276" s="187" t="s">
        <v>961</v>
      </c>
      <c r="E276" s="187" t="s">
        <v>128</v>
      </c>
      <c r="F276" s="188"/>
      <c r="G276" s="18"/>
      <c r="H276" s="18">
        <v>3600</v>
      </c>
      <c r="I276" s="189"/>
      <c r="J276" s="189">
        <f t="shared" si="19"/>
        <v>0</v>
      </c>
      <c r="K276" s="189">
        <f t="shared" si="20"/>
        <v>0</v>
      </c>
      <c r="L276" s="190" t="s">
        <v>551</v>
      </c>
    </row>
    <row r="277" spans="1:12" s="180" customFormat="1" ht="8.65" customHeight="1" x14ac:dyDescent="0.15">
      <c r="A277" s="187" t="s">
        <v>664</v>
      </c>
      <c r="B277" s="187" t="s">
        <v>803</v>
      </c>
      <c r="C277" s="187" t="s">
        <v>683</v>
      </c>
      <c r="D277" s="187" t="s">
        <v>869</v>
      </c>
      <c r="E277" s="187" t="s">
        <v>128</v>
      </c>
      <c r="F277" s="188"/>
      <c r="G277" s="18"/>
      <c r="H277" s="18">
        <v>7500</v>
      </c>
      <c r="I277" s="189"/>
      <c r="J277" s="189">
        <f t="shared" si="19"/>
        <v>0</v>
      </c>
      <c r="K277" s="189">
        <f t="shared" si="20"/>
        <v>0</v>
      </c>
      <c r="L277" s="190" t="s">
        <v>551</v>
      </c>
    </row>
    <row r="278" spans="1:12" s="180" customFormat="1" ht="8.65" customHeight="1" x14ac:dyDescent="0.15">
      <c r="A278" s="187" t="s">
        <v>664</v>
      </c>
      <c r="B278" s="187" t="s">
        <v>919</v>
      </c>
      <c r="C278" s="187" t="s">
        <v>683</v>
      </c>
      <c r="D278" s="187" t="s">
        <v>920</v>
      </c>
      <c r="E278" s="187" t="s">
        <v>128</v>
      </c>
      <c r="F278" s="188"/>
      <c r="G278" s="18"/>
      <c r="H278" s="18">
        <v>3500</v>
      </c>
      <c r="I278" s="189"/>
      <c r="J278" s="189">
        <f t="shared" si="19"/>
        <v>0</v>
      </c>
      <c r="K278" s="189">
        <f t="shared" si="20"/>
        <v>0</v>
      </c>
      <c r="L278" s="190" t="s">
        <v>551</v>
      </c>
    </row>
    <row r="279" spans="1:12" s="180" customFormat="1" ht="8.65" customHeight="1" x14ac:dyDescent="0.15">
      <c r="A279" s="187" t="s">
        <v>664</v>
      </c>
      <c r="B279" s="187" t="s">
        <v>746</v>
      </c>
      <c r="C279" s="187" t="s">
        <v>683</v>
      </c>
      <c r="D279" s="187" t="s">
        <v>982</v>
      </c>
      <c r="E279" s="187" t="s">
        <v>128</v>
      </c>
      <c r="F279" s="188"/>
      <c r="G279" s="18"/>
      <c r="H279" s="18">
        <v>5280</v>
      </c>
      <c r="I279" s="189"/>
      <c r="J279" s="189">
        <f t="shared" si="19"/>
        <v>0</v>
      </c>
      <c r="K279" s="189">
        <f t="shared" si="20"/>
        <v>0</v>
      </c>
      <c r="L279" s="190" t="s">
        <v>551</v>
      </c>
    </row>
    <row r="280" spans="1:12" s="180" customFormat="1" ht="8.65" customHeight="1" x14ac:dyDescent="0.15">
      <c r="A280" s="187" t="s">
        <v>664</v>
      </c>
      <c r="B280" s="187" t="s">
        <v>805</v>
      </c>
      <c r="C280" s="187" t="s">
        <v>683</v>
      </c>
      <c r="D280" s="187" t="s">
        <v>806</v>
      </c>
      <c r="E280" s="187" t="s">
        <v>128</v>
      </c>
      <c r="F280" s="188"/>
      <c r="G280" s="18"/>
      <c r="H280" s="18">
        <v>2460</v>
      </c>
      <c r="I280" s="189"/>
      <c r="J280" s="189">
        <f t="shared" si="19"/>
        <v>0</v>
      </c>
      <c r="K280" s="189">
        <f t="shared" si="20"/>
        <v>0</v>
      </c>
      <c r="L280" s="190" t="s">
        <v>551</v>
      </c>
    </row>
    <row r="281" spans="1:12" s="180" customFormat="1" ht="8.65" customHeight="1" x14ac:dyDescent="0.15">
      <c r="A281" s="187" t="s">
        <v>664</v>
      </c>
      <c r="B281" s="187" t="s">
        <v>983</v>
      </c>
      <c r="C281" s="187" t="s">
        <v>683</v>
      </c>
      <c r="D281" s="187" t="s">
        <v>984</v>
      </c>
      <c r="E281" s="187" t="s">
        <v>128</v>
      </c>
      <c r="F281" s="188"/>
      <c r="G281" s="18"/>
      <c r="H281" s="18">
        <v>2460</v>
      </c>
      <c r="I281" s="189"/>
      <c r="J281" s="189">
        <f t="shared" si="19"/>
        <v>0</v>
      </c>
      <c r="K281" s="189">
        <f t="shared" si="20"/>
        <v>0</v>
      </c>
      <c r="L281" s="190" t="s">
        <v>551</v>
      </c>
    </row>
    <row r="282" spans="1:12" s="180" customFormat="1" ht="8.65" customHeight="1" x14ac:dyDescent="0.15">
      <c r="A282" s="187" t="s">
        <v>664</v>
      </c>
      <c r="B282" s="187" t="s">
        <v>807</v>
      </c>
      <c r="C282" s="187" t="s">
        <v>683</v>
      </c>
      <c r="D282" s="187" t="s">
        <v>808</v>
      </c>
      <c r="E282" s="187" t="s">
        <v>128</v>
      </c>
      <c r="F282" s="188"/>
      <c r="G282" s="18"/>
      <c r="H282" s="18">
        <v>2700</v>
      </c>
      <c r="I282" s="189"/>
      <c r="J282" s="189">
        <f t="shared" si="19"/>
        <v>0</v>
      </c>
      <c r="K282" s="189">
        <f t="shared" si="20"/>
        <v>0</v>
      </c>
      <c r="L282" s="190" t="s">
        <v>551</v>
      </c>
    </row>
    <row r="283" spans="1:12" s="180" customFormat="1" ht="8.65" customHeight="1" x14ac:dyDescent="0.15">
      <c r="A283" s="187" t="s">
        <v>664</v>
      </c>
      <c r="B283" s="187" t="s">
        <v>985</v>
      </c>
      <c r="C283" s="187" t="s">
        <v>683</v>
      </c>
      <c r="D283" s="187" t="s">
        <v>986</v>
      </c>
      <c r="E283" s="187" t="s">
        <v>128</v>
      </c>
      <c r="F283" s="188"/>
      <c r="G283" s="18"/>
      <c r="H283" s="18">
        <v>2460</v>
      </c>
      <c r="I283" s="189"/>
      <c r="J283" s="189">
        <f t="shared" si="19"/>
        <v>0</v>
      </c>
      <c r="K283" s="189">
        <f t="shared" si="20"/>
        <v>0</v>
      </c>
      <c r="L283" s="190" t="s">
        <v>551</v>
      </c>
    </row>
    <row r="284" spans="1:12" s="180" customFormat="1" ht="8.65" customHeight="1" x14ac:dyDescent="0.15">
      <c r="A284" s="187" t="s">
        <v>664</v>
      </c>
      <c r="B284" s="187" t="s">
        <v>987</v>
      </c>
      <c r="C284" s="187" t="s">
        <v>683</v>
      </c>
      <c r="D284" s="187" t="s">
        <v>988</v>
      </c>
      <c r="E284" s="187" t="s">
        <v>128</v>
      </c>
      <c r="F284" s="188"/>
      <c r="G284" s="18"/>
      <c r="H284" s="18">
        <v>2700</v>
      </c>
      <c r="I284" s="189"/>
      <c r="J284" s="189">
        <f t="shared" si="19"/>
        <v>0</v>
      </c>
      <c r="K284" s="189">
        <f t="shared" si="20"/>
        <v>0</v>
      </c>
      <c r="L284" s="190" t="s">
        <v>551</v>
      </c>
    </row>
    <row r="285" spans="1:12" s="180" customFormat="1" ht="8.65" customHeight="1" x14ac:dyDescent="0.15">
      <c r="A285" s="187" t="s">
        <v>664</v>
      </c>
      <c r="B285" s="187" t="s">
        <v>989</v>
      </c>
      <c r="C285" s="187" t="s">
        <v>683</v>
      </c>
      <c r="D285" s="187" t="s">
        <v>990</v>
      </c>
      <c r="E285" s="187" t="s">
        <v>128</v>
      </c>
      <c r="F285" s="188"/>
      <c r="G285" s="18"/>
      <c r="H285" s="18">
        <v>9000</v>
      </c>
      <c r="I285" s="189"/>
      <c r="J285" s="189">
        <f t="shared" si="19"/>
        <v>0</v>
      </c>
      <c r="K285" s="189">
        <f t="shared" si="20"/>
        <v>0</v>
      </c>
      <c r="L285" s="190" t="s">
        <v>551</v>
      </c>
    </row>
    <row r="286" spans="1:12" s="180" customFormat="1" ht="8.65" customHeight="1" x14ac:dyDescent="0.15">
      <c r="A286" s="187" t="s">
        <v>664</v>
      </c>
      <c r="B286" s="187" t="s">
        <v>991</v>
      </c>
      <c r="C286" s="187" t="s">
        <v>683</v>
      </c>
      <c r="D286" s="187" t="s">
        <v>992</v>
      </c>
      <c r="E286" s="187" t="s">
        <v>128</v>
      </c>
      <c r="F286" s="188"/>
      <c r="G286" s="18"/>
      <c r="H286" s="18">
        <v>3000</v>
      </c>
      <c r="I286" s="189"/>
      <c r="J286" s="189">
        <f t="shared" si="19"/>
        <v>0</v>
      </c>
      <c r="K286" s="189">
        <f t="shared" si="20"/>
        <v>0</v>
      </c>
      <c r="L286" s="190" t="s">
        <v>551</v>
      </c>
    </row>
    <row r="287" spans="1:12" s="180" customFormat="1" ht="8.65" customHeight="1" x14ac:dyDescent="0.15">
      <c r="A287" s="187" t="s">
        <v>664</v>
      </c>
      <c r="B287" s="187" t="s">
        <v>854</v>
      </c>
      <c r="C287" s="187" t="s">
        <v>683</v>
      </c>
      <c r="D287" s="187" t="s">
        <v>855</v>
      </c>
      <c r="E287" s="187" t="s">
        <v>128</v>
      </c>
      <c r="F287" s="188"/>
      <c r="G287" s="18"/>
      <c r="H287" s="18">
        <v>3600</v>
      </c>
      <c r="I287" s="189"/>
      <c r="J287" s="189">
        <f t="shared" si="19"/>
        <v>0</v>
      </c>
      <c r="K287" s="189">
        <f t="shared" si="20"/>
        <v>0</v>
      </c>
      <c r="L287" s="190" t="s">
        <v>551</v>
      </c>
    </row>
    <row r="288" spans="1:12" s="180" customFormat="1" ht="8.65" customHeight="1" x14ac:dyDescent="0.15">
      <c r="A288" s="187" t="s">
        <v>664</v>
      </c>
      <c r="B288" s="187" t="s">
        <v>993</v>
      </c>
      <c r="C288" s="187" t="s">
        <v>666</v>
      </c>
      <c r="D288" s="187" t="s">
        <v>994</v>
      </c>
      <c r="E288" s="187" t="s">
        <v>128</v>
      </c>
      <c r="F288" s="188"/>
      <c r="G288" s="18"/>
      <c r="H288" s="18">
        <v>7800</v>
      </c>
      <c r="I288" s="189"/>
      <c r="J288" s="189">
        <f t="shared" si="19"/>
        <v>0</v>
      </c>
      <c r="K288" s="189">
        <f t="shared" si="20"/>
        <v>0</v>
      </c>
      <c r="L288" s="190" t="s">
        <v>551</v>
      </c>
    </row>
    <row r="289" spans="1:16" s="180" customFormat="1" ht="8.65" customHeight="1" x14ac:dyDescent="0.15">
      <c r="A289" s="187" t="s">
        <v>664</v>
      </c>
      <c r="B289" s="187" t="s">
        <v>702</v>
      </c>
      <c r="C289" s="187" t="s">
        <v>666</v>
      </c>
      <c r="D289" s="187" t="s">
        <v>872</v>
      </c>
      <c r="E289" s="187" t="s">
        <v>128</v>
      </c>
      <c r="F289" s="188"/>
      <c r="G289" s="18"/>
      <c r="H289" s="18">
        <v>30000</v>
      </c>
      <c r="I289" s="189"/>
      <c r="J289" s="189">
        <f t="shared" si="19"/>
        <v>0</v>
      </c>
      <c r="K289" s="189">
        <f t="shared" si="20"/>
        <v>0</v>
      </c>
      <c r="L289" s="190" t="s">
        <v>551</v>
      </c>
    </row>
    <row r="290" spans="1:16" s="180" customFormat="1" ht="8.65" customHeight="1" x14ac:dyDescent="0.15">
      <c r="A290" s="187" t="s">
        <v>664</v>
      </c>
      <c r="B290" s="187" t="s">
        <v>873</v>
      </c>
      <c r="C290" s="187" t="s">
        <v>666</v>
      </c>
      <c r="D290" s="187" t="s">
        <v>874</v>
      </c>
      <c r="E290" s="187" t="s">
        <v>128</v>
      </c>
      <c r="F290" s="188"/>
      <c r="G290" s="18"/>
      <c r="H290" s="18">
        <v>7000</v>
      </c>
      <c r="I290" s="189"/>
      <c r="J290" s="189">
        <f t="shared" si="19"/>
        <v>0</v>
      </c>
      <c r="K290" s="189">
        <f t="shared" si="20"/>
        <v>0</v>
      </c>
      <c r="L290" s="190" t="s">
        <v>551</v>
      </c>
    </row>
    <row r="291" spans="1:16" s="180" customFormat="1" ht="8.65" customHeight="1" x14ac:dyDescent="0.15">
      <c r="A291" s="187" t="s">
        <v>664</v>
      </c>
      <c r="B291" s="187" t="s">
        <v>995</v>
      </c>
      <c r="C291" s="187" t="s">
        <v>666</v>
      </c>
      <c r="D291" s="187" t="s">
        <v>996</v>
      </c>
      <c r="E291" s="187" t="s">
        <v>128</v>
      </c>
      <c r="F291" s="188"/>
      <c r="G291" s="18"/>
      <c r="H291" s="18">
        <v>7400</v>
      </c>
      <c r="I291" s="189"/>
      <c r="J291" s="189">
        <f t="shared" si="19"/>
        <v>0</v>
      </c>
      <c r="K291" s="189">
        <f t="shared" si="20"/>
        <v>0</v>
      </c>
      <c r="L291" s="190" t="s">
        <v>551</v>
      </c>
    </row>
    <row r="292" spans="1:16" s="180" customFormat="1" ht="8.65" customHeight="1" x14ac:dyDescent="0.15">
      <c r="A292" s="187" t="s">
        <v>664</v>
      </c>
      <c r="B292" s="187" t="s">
        <v>750</v>
      </c>
      <c r="C292" s="187" t="s">
        <v>666</v>
      </c>
      <c r="D292" s="187" t="s">
        <v>898</v>
      </c>
      <c r="E292" s="187" t="s">
        <v>128</v>
      </c>
      <c r="F292" s="188"/>
      <c r="G292" s="18"/>
      <c r="H292" s="18">
        <v>25000</v>
      </c>
      <c r="I292" s="189"/>
      <c r="J292" s="189">
        <f t="shared" si="19"/>
        <v>0</v>
      </c>
      <c r="K292" s="189">
        <f t="shared" si="20"/>
        <v>0</v>
      </c>
      <c r="L292" s="190" t="s">
        <v>551</v>
      </c>
    </row>
    <row r="293" spans="1:16" s="180" customFormat="1" ht="8.65" customHeight="1" x14ac:dyDescent="0.15">
      <c r="A293" s="187" t="s">
        <v>664</v>
      </c>
      <c r="B293" s="187" t="s">
        <v>997</v>
      </c>
      <c r="C293" s="187" t="s">
        <v>683</v>
      </c>
      <c r="D293" s="187" t="s">
        <v>998</v>
      </c>
      <c r="E293" s="187" t="s">
        <v>128</v>
      </c>
      <c r="F293" s="188"/>
      <c r="G293" s="18"/>
      <c r="H293" s="18">
        <v>20000</v>
      </c>
      <c r="I293" s="189"/>
      <c r="J293" s="189">
        <f t="shared" si="19"/>
        <v>0</v>
      </c>
      <c r="K293" s="189">
        <f t="shared" si="20"/>
        <v>0</v>
      </c>
      <c r="L293" s="190" t="s">
        <v>551</v>
      </c>
    </row>
    <row r="294" spans="1:16" s="180" customFormat="1" ht="8.65" customHeight="1" x14ac:dyDescent="0.15">
      <c r="A294" s="187" t="s">
        <v>664</v>
      </c>
      <c r="B294" s="187" t="s">
        <v>964</v>
      </c>
      <c r="C294" s="187" t="s">
        <v>683</v>
      </c>
      <c r="D294" s="187" t="s">
        <v>999</v>
      </c>
      <c r="E294" s="187" t="s">
        <v>128</v>
      </c>
      <c r="F294" s="188"/>
      <c r="G294" s="18"/>
      <c r="H294" s="18">
        <v>10000</v>
      </c>
      <c r="I294" s="189"/>
      <c r="J294" s="189">
        <f t="shared" si="19"/>
        <v>0</v>
      </c>
      <c r="K294" s="189">
        <f t="shared" si="20"/>
        <v>0</v>
      </c>
      <c r="L294" s="190" t="s">
        <v>551</v>
      </c>
    </row>
    <row r="295" spans="1:16" s="180" customFormat="1" ht="8.65" customHeight="1" x14ac:dyDescent="0.15">
      <c r="A295" s="187" t="s">
        <v>664</v>
      </c>
      <c r="B295" s="187" t="s">
        <v>1000</v>
      </c>
      <c r="C295" s="187" t="s">
        <v>683</v>
      </c>
      <c r="D295" s="187" t="s">
        <v>1001</v>
      </c>
      <c r="E295" s="187" t="s">
        <v>128</v>
      </c>
      <c r="F295" s="188"/>
      <c r="G295" s="18"/>
      <c r="H295" s="18">
        <v>6000</v>
      </c>
      <c r="I295" s="189"/>
      <c r="J295" s="189">
        <f t="shared" si="19"/>
        <v>0</v>
      </c>
      <c r="K295" s="189">
        <f t="shared" si="20"/>
        <v>0</v>
      </c>
      <c r="L295" s="190" t="s">
        <v>551</v>
      </c>
    </row>
    <row r="296" spans="1:16" s="180" customFormat="1" ht="8.65" customHeight="1" x14ac:dyDescent="0.15">
      <c r="A296" s="187" t="s">
        <v>664</v>
      </c>
      <c r="B296" s="187" t="s">
        <v>1002</v>
      </c>
      <c r="C296" s="187" t="s">
        <v>683</v>
      </c>
      <c r="D296" s="187" t="s">
        <v>1003</v>
      </c>
      <c r="E296" s="187" t="s">
        <v>128</v>
      </c>
      <c r="F296" s="188"/>
      <c r="G296" s="18"/>
      <c r="H296" s="18">
        <v>4500</v>
      </c>
      <c r="I296" s="189"/>
      <c r="J296" s="189">
        <f t="shared" si="19"/>
        <v>0</v>
      </c>
      <c r="K296" s="189">
        <f t="shared" si="20"/>
        <v>0</v>
      </c>
      <c r="L296" s="190" t="s">
        <v>551</v>
      </c>
    </row>
    <row r="297" spans="1:16" s="180" customFormat="1" ht="8.65" customHeight="1" x14ac:dyDescent="0.15">
      <c r="A297" s="187" t="s">
        <v>664</v>
      </c>
      <c r="B297" s="187" t="s">
        <v>704</v>
      </c>
      <c r="C297" s="187" t="s">
        <v>683</v>
      </c>
      <c r="D297" s="187" t="s">
        <v>966</v>
      </c>
      <c r="E297" s="187" t="s">
        <v>128</v>
      </c>
      <c r="F297" s="188"/>
      <c r="G297" s="18"/>
      <c r="H297" s="18">
        <v>3000</v>
      </c>
      <c r="I297" s="189"/>
      <c r="J297" s="189">
        <f t="shared" si="19"/>
        <v>0</v>
      </c>
      <c r="K297" s="189">
        <f t="shared" si="20"/>
        <v>0</v>
      </c>
      <c r="L297" s="190" t="s">
        <v>551</v>
      </c>
    </row>
    <row r="298" spans="1:16" s="180" customFormat="1" ht="8.65" customHeight="1" x14ac:dyDescent="0.15">
      <c r="A298" s="187" t="s">
        <v>664</v>
      </c>
      <c r="B298" s="187" t="s">
        <v>822</v>
      </c>
      <c r="C298" s="187" t="s">
        <v>683</v>
      </c>
      <c r="D298" s="187" t="s">
        <v>823</v>
      </c>
      <c r="E298" s="187" t="s">
        <v>128</v>
      </c>
      <c r="F298" s="188"/>
      <c r="G298" s="18"/>
      <c r="H298" s="18">
        <v>5400</v>
      </c>
      <c r="I298" s="189"/>
      <c r="J298" s="189">
        <f t="shared" si="19"/>
        <v>0</v>
      </c>
      <c r="K298" s="189">
        <f t="shared" si="20"/>
        <v>0</v>
      </c>
      <c r="L298" s="190" t="s">
        <v>551</v>
      </c>
    </row>
    <row r="299" spans="1:16" s="180" customFormat="1" ht="8.65" customHeight="1" x14ac:dyDescent="0.15">
      <c r="A299" s="187" t="s">
        <v>664</v>
      </c>
      <c r="B299" s="187" t="s">
        <v>1004</v>
      </c>
      <c r="C299" s="187" t="s">
        <v>683</v>
      </c>
      <c r="D299" s="187" t="s">
        <v>1005</v>
      </c>
      <c r="E299" s="187" t="s">
        <v>128</v>
      </c>
      <c r="F299" s="188"/>
      <c r="G299" s="18"/>
      <c r="H299" s="18">
        <v>8250</v>
      </c>
      <c r="I299" s="189"/>
      <c r="J299" s="189">
        <f t="shared" si="19"/>
        <v>0</v>
      </c>
      <c r="K299" s="189">
        <f t="shared" si="20"/>
        <v>0</v>
      </c>
      <c r="L299" s="190" t="s">
        <v>551</v>
      </c>
    </row>
    <row r="300" spans="1:16" s="180" customFormat="1" ht="8.65" customHeight="1" x14ac:dyDescent="0.15">
      <c r="A300" s="187" t="s">
        <v>664</v>
      </c>
      <c r="B300" s="187" t="s">
        <v>824</v>
      </c>
      <c r="C300" s="187" t="s">
        <v>683</v>
      </c>
      <c r="D300" s="187" t="s">
        <v>825</v>
      </c>
      <c r="E300" s="187" t="s">
        <v>128</v>
      </c>
      <c r="F300" s="188"/>
      <c r="G300" s="18"/>
      <c r="H300" s="18">
        <v>7800</v>
      </c>
      <c r="I300" s="189"/>
      <c r="J300" s="189">
        <f t="shared" si="19"/>
        <v>0</v>
      </c>
      <c r="K300" s="189">
        <f t="shared" si="20"/>
        <v>0</v>
      </c>
      <c r="L300" s="190" t="s">
        <v>551</v>
      </c>
    </row>
    <row r="301" spans="1:16" s="180" customFormat="1" ht="7.15" customHeight="1" x14ac:dyDescent="0.15">
      <c r="A301" s="187" t="s">
        <v>664</v>
      </c>
      <c r="B301" s="187" t="s">
        <v>830</v>
      </c>
      <c r="C301" s="187" t="s">
        <v>683</v>
      </c>
      <c r="D301" s="187" t="s">
        <v>831</v>
      </c>
      <c r="E301" s="187" t="s">
        <v>128</v>
      </c>
      <c r="F301" s="188"/>
      <c r="G301" s="18"/>
      <c r="H301" s="18">
        <v>11400</v>
      </c>
      <c r="I301" s="189"/>
      <c r="J301" s="189">
        <f t="shared" si="19"/>
        <v>0</v>
      </c>
      <c r="K301" s="189">
        <f t="shared" si="20"/>
        <v>0</v>
      </c>
      <c r="L301" s="190" t="s">
        <v>551</v>
      </c>
    </row>
    <row r="302" spans="1:16" s="180" customFormat="1" ht="12" customHeight="1" x14ac:dyDescent="0.15">
      <c r="A302" s="274" t="s">
        <v>133</v>
      </c>
      <c r="B302" s="274"/>
      <c r="C302" s="274"/>
      <c r="D302" s="274"/>
      <c r="E302" s="274"/>
      <c r="F302" s="274"/>
      <c r="G302" s="217"/>
      <c r="H302" s="217"/>
      <c r="I302" s="218"/>
      <c r="J302" s="218">
        <f>SUM(J257:J301)</f>
        <v>0</v>
      </c>
      <c r="K302" s="218">
        <f>SUM(K256:K301)</f>
        <v>0</v>
      </c>
      <c r="L302" s="219"/>
    </row>
    <row r="303" spans="1:16" s="180" customFormat="1" ht="3" customHeight="1" x14ac:dyDescent="0.2">
      <c r="A303" s="197"/>
      <c r="B303" s="197"/>
      <c r="C303" s="197"/>
      <c r="D303" s="197"/>
      <c r="E303" s="197"/>
      <c r="F303" s="197"/>
      <c r="G303" s="197"/>
      <c r="H303" s="198"/>
      <c r="I303" s="199"/>
      <c r="J303" s="199"/>
      <c r="K303" s="199"/>
      <c r="L303" s="197"/>
      <c r="M303" s="197"/>
      <c r="N303" s="197"/>
      <c r="O303" s="197"/>
      <c r="P303" s="197"/>
    </row>
    <row r="304" spans="1:16" s="180" customFormat="1" ht="8.65" customHeight="1" x14ac:dyDescent="0.15">
      <c r="A304" s="187" t="s">
        <v>664</v>
      </c>
      <c r="B304" s="187" t="s">
        <v>1006</v>
      </c>
      <c r="C304" s="187" t="s">
        <v>720</v>
      </c>
      <c r="D304" s="187" t="s">
        <v>1007</v>
      </c>
      <c r="E304" s="187" t="s">
        <v>134</v>
      </c>
      <c r="F304" s="187" t="s">
        <v>135</v>
      </c>
      <c r="G304" s="18"/>
      <c r="H304" s="18"/>
      <c r="I304" s="189"/>
      <c r="J304" s="189">
        <v>16800</v>
      </c>
      <c r="K304" s="189">
        <f t="shared" ref="K304:K307" si="21">+J304-I304</f>
        <v>16800</v>
      </c>
      <c r="L304" s="190" t="s">
        <v>551</v>
      </c>
    </row>
    <row r="305" spans="1:12" s="180" customFormat="1" ht="8.65" customHeight="1" x14ac:dyDescent="0.15">
      <c r="A305" s="187" t="s">
        <v>664</v>
      </c>
      <c r="B305" s="187" t="s">
        <v>1008</v>
      </c>
      <c r="C305" s="187" t="s">
        <v>666</v>
      </c>
      <c r="D305" s="187" t="s">
        <v>1009</v>
      </c>
      <c r="E305" s="187" t="s">
        <v>134</v>
      </c>
      <c r="F305" s="188"/>
      <c r="G305" s="18"/>
      <c r="H305" s="18"/>
      <c r="I305" s="189"/>
      <c r="J305" s="189">
        <v>22200</v>
      </c>
      <c r="K305" s="189">
        <f t="shared" si="21"/>
        <v>22200</v>
      </c>
      <c r="L305" s="190" t="s">
        <v>551</v>
      </c>
    </row>
    <row r="306" spans="1:12" s="180" customFormat="1" ht="8.65" customHeight="1" x14ac:dyDescent="0.15">
      <c r="A306" s="187" t="s">
        <v>664</v>
      </c>
      <c r="B306" s="187" t="s">
        <v>1010</v>
      </c>
      <c r="C306" s="187" t="s">
        <v>666</v>
      </c>
      <c r="D306" s="187" t="s">
        <v>1011</v>
      </c>
      <c r="E306" s="187" t="s">
        <v>134</v>
      </c>
      <c r="F306" s="188"/>
      <c r="G306" s="18"/>
      <c r="H306" s="18"/>
      <c r="I306" s="189"/>
      <c r="J306" s="189">
        <v>22200</v>
      </c>
      <c r="K306" s="189">
        <f t="shared" si="21"/>
        <v>22200</v>
      </c>
      <c r="L306" s="190" t="s">
        <v>551</v>
      </c>
    </row>
    <row r="307" spans="1:12" s="180" customFormat="1" ht="8.65" customHeight="1" x14ac:dyDescent="0.15">
      <c r="A307" s="187" t="s">
        <v>664</v>
      </c>
      <c r="B307" s="187" t="s">
        <v>954</v>
      </c>
      <c r="C307" s="187" t="s">
        <v>666</v>
      </c>
      <c r="D307" s="187" t="s">
        <v>955</v>
      </c>
      <c r="E307" s="187" t="s">
        <v>134</v>
      </c>
      <c r="F307" s="188"/>
      <c r="G307" s="18"/>
      <c r="H307" s="18"/>
      <c r="I307" s="189"/>
      <c r="J307" s="189">
        <v>16500</v>
      </c>
      <c r="K307" s="189">
        <f t="shared" si="21"/>
        <v>16500</v>
      </c>
      <c r="L307" s="190" t="s">
        <v>551</v>
      </c>
    </row>
    <row r="308" spans="1:12" s="180" customFormat="1" ht="8.65" customHeight="1" x14ac:dyDescent="0.15">
      <c r="A308" s="187" t="s">
        <v>664</v>
      </c>
      <c r="B308" s="187" t="s">
        <v>665</v>
      </c>
      <c r="C308" s="187" t="s">
        <v>666</v>
      </c>
      <c r="D308" s="187" t="s">
        <v>1012</v>
      </c>
      <c r="E308" s="187" t="s">
        <v>134</v>
      </c>
      <c r="F308" s="188"/>
      <c r="G308" s="18"/>
      <c r="H308" s="18">
        <v>111600</v>
      </c>
      <c r="I308" s="189"/>
      <c r="J308" s="189">
        <f>111600-H308</f>
        <v>0</v>
      </c>
      <c r="K308" s="189">
        <f>+J308-I308</f>
        <v>0</v>
      </c>
      <c r="L308" s="190" t="s">
        <v>551</v>
      </c>
    </row>
    <row r="309" spans="1:12" s="180" customFormat="1" ht="8.65" customHeight="1" x14ac:dyDescent="0.15">
      <c r="A309" s="187" t="s">
        <v>664</v>
      </c>
      <c r="B309" s="187" t="s">
        <v>665</v>
      </c>
      <c r="C309" s="187" t="s">
        <v>666</v>
      </c>
      <c r="D309" s="187" t="s">
        <v>667</v>
      </c>
      <c r="E309" s="187" t="s">
        <v>134</v>
      </c>
      <c r="F309" s="188"/>
      <c r="G309" s="18"/>
      <c r="H309" s="18">
        <v>700000</v>
      </c>
      <c r="I309" s="189"/>
      <c r="J309" s="189">
        <f>700000-H309</f>
        <v>0</v>
      </c>
      <c r="K309" s="189">
        <f>+J309-I309</f>
        <v>0</v>
      </c>
      <c r="L309" s="190" t="s">
        <v>551</v>
      </c>
    </row>
    <row r="310" spans="1:12" s="180" customFormat="1" ht="8.65" customHeight="1" x14ac:dyDescent="0.15">
      <c r="A310" s="187" t="s">
        <v>664</v>
      </c>
      <c r="B310" s="187" t="s">
        <v>1013</v>
      </c>
      <c r="C310" s="187" t="s">
        <v>666</v>
      </c>
      <c r="D310" s="187" t="s">
        <v>1014</v>
      </c>
      <c r="E310" s="187" t="s">
        <v>134</v>
      </c>
      <c r="F310" s="188"/>
      <c r="G310" s="18"/>
      <c r="H310" s="18"/>
      <c r="I310" s="189"/>
      <c r="J310" s="189">
        <v>18200</v>
      </c>
      <c r="K310" s="189">
        <f t="shared" ref="K310:K373" si="22">+J310-H310</f>
        <v>18200</v>
      </c>
      <c r="L310" s="190" t="s">
        <v>551</v>
      </c>
    </row>
    <row r="311" spans="1:12" s="180" customFormat="1" ht="8.65" customHeight="1" x14ac:dyDescent="0.15">
      <c r="A311" s="187" t="s">
        <v>664</v>
      </c>
      <c r="B311" s="187" t="s">
        <v>762</v>
      </c>
      <c r="C311" s="187" t="s">
        <v>666</v>
      </c>
      <c r="D311" s="187" t="s">
        <v>1015</v>
      </c>
      <c r="E311" s="187" t="s">
        <v>134</v>
      </c>
      <c r="F311" s="188"/>
      <c r="G311" s="18"/>
      <c r="H311" s="18"/>
      <c r="I311" s="189"/>
      <c r="J311" s="189">
        <v>38500</v>
      </c>
      <c r="K311" s="189">
        <f t="shared" si="22"/>
        <v>38500</v>
      </c>
      <c r="L311" s="190" t="s">
        <v>551</v>
      </c>
    </row>
    <row r="312" spans="1:12" s="180" customFormat="1" ht="8.65" customHeight="1" x14ac:dyDescent="0.15">
      <c r="A312" s="187" t="s">
        <v>664</v>
      </c>
      <c r="B312" s="187" t="s">
        <v>764</v>
      </c>
      <c r="C312" s="187" t="s">
        <v>666</v>
      </c>
      <c r="D312" s="187" t="s">
        <v>765</v>
      </c>
      <c r="E312" s="187" t="s">
        <v>134</v>
      </c>
      <c r="F312" s="188"/>
      <c r="G312" s="18"/>
      <c r="H312" s="18"/>
      <c r="I312" s="189"/>
      <c r="J312" s="189">
        <v>19500</v>
      </c>
      <c r="K312" s="189">
        <f t="shared" si="22"/>
        <v>19500</v>
      </c>
      <c r="L312" s="190" t="s">
        <v>551</v>
      </c>
    </row>
    <row r="313" spans="1:12" s="180" customFormat="1" ht="8.65" customHeight="1" x14ac:dyDescent="0.15">
      <c r="A313" s="187" t="s">
        <v>664</v>
      </c>
      <c r="B313" s="187" t="s">
        <v>766</v>
      </c>
      <c r="C313" s="187" t="s">
        <v>666</v>
      </c>
      <c r="D313" s="187" t="s">
        <v>938</v>
      </c>
      <c r="E313" s="187" t="s">
        <v>134</v>
      </c>
      <c r="F313" s="188"/>
      <c r="G313" s="18"/>
      <c r="H313" s="18"/>
      <c r="I313" s="189"/>
      <c r="J313" s="189">
        <v>7500</v>
      </c>
      <c r="K313" s="189">
        <f t="shared" si="22"/>
        <v>7500</v>
      </c>
      <c r="L313" s="190" t="s">
        <v>551</v>
      </c>
    </row>
    <row r="314" spans="1:12" s="180" customFormat="1" ht="8.65" customHeight="1" x14ac:dyDescent="0.15">
      <c r="A314" s="187" t="s">
        <v>664</v>
      </c>
      <c r="B314" s="187" t="s">
        <v>1016</v>
      </c>
      <c r="C314" s="187" t="s">
        <v>666</v>
      </c>
      <c r="D314" s="187" t="s">
        <v>1017</v>
      </c>
      <c r="E314" s="187" t="s">
        <v>134</v>
      </c>
      <c r="F314" s="188"/>
      <c r="G314" s="18"/>
      <c r="H314" s="18"/>
      <c r="I314" s="189"/>
      <c r="J314" s="189">
        <v>37200</v>
      </c>
      <c r="K314" s="189">
        <f t="shared" si="22"/>
        <v>37200</v>
      </c>
      <c r="L314" s="190" t="s">
        <v>551</v>
      </c>
    </row>
    <row r="315" spans="1:12" s="180" customFormat="1" ht="8.65" customHeight="1" x14ac:dyDescent="0.15">
      <c r="A315" s="187" t="s">
        <v>664</v>
      </c>
      <c r="B315" s="187" t="s">
        <v>728</v>
      </c>
      <c r="C315" s="187" t="s">
        <v>666</v>
      </c>
      <c r="D315" s="187" t="s">
        <v>1018</v>
      </c>
      <c r="E315" s="187" t="s">
        <v>134</v>
      </c>
      <c r="F315" s="188"/>
      <c r="G315" s="18"/>
      <c r="H315" s="18">
        <v>1786</v>
      </c>
      <c r="I315" s="189"/>
      <c r="J315" s="189">
        <f>175000-H315</f>
        <v>173214</v>
      </c>
      <c r="K315" s="189">
        <f>+J315-I315</f>
        <v>173214</v>
      </c>
      <c r="L315" s="190" t="s">
        <v>551</v>
      </c>
    </row>
    <row r="316" spans="1:12" s="180" customFormat="1" ht="8.65" customHeight="1" x14ac:dyDescent="0.15">
      <c r="A316" s="187" t="s">
        <v>664</v>
      </c>
      <c r="B316" s="187" t="s">
        <v>670</v>
      </c>
      <c r="C316" s="187" t="s">
        <v>666</v>
      </c>
      <c r="D316" s="187" t="s">
        <v>671</v>
      </c>
      <c r="E316" s="187" t="s">
        <v>134</v>
      </c>
      <c r="F316" s="188"/>
      <c r="G316" s="18"/>
      <c r="H316" s="18"/>
      <c r="I316" s="189"/>
      <c r="J316" s="189">
        <v>17000</v>
      </c>
      <c r="K316" s="189">
        <f t="shared" si="22"/>
        <v>17000</v>
      </c>
      <c r="L316" s="190" t="s">
        <v>551</v>
      </c>
    </row>
    <row r="317" spans="1:12" s="180" customFormat="1" ht="8.65" customHeight="1" x14ac:dyDescent="0.15">
      <c r="A317" s="187" t="s">
        <v>664</v>
      </c>
      <c r="B317" s="187" t="s">
        <v>1019</v>
      </c>
      <c r="C317" s="187" t="s">
        <v>694</v>
      </c>
      <c r="D317" s="187" t="s">
        <v>1020</v>
      </c>
      <c r="E317" s="187" t="s">
        <v>134</v>
      </c>
      <c r="F317" s="188"/>
      <c r="G317" s="18"/>
      <c r="H317" s="18">
        <v>210000</v>
      </c>
      <c r="I317" s="189"/>
      <c r="J317" s="189">
        <f>210000-H317</f>
        <v>0</v>
      </c>
      <c r="K317" s="189">
        <f>+J317-I317</f>
        <v>0</v>
      </c>
      <c r="L317" s="190" t="s">
        <v>551</v>
      </c>
    </row>
    <row r="318" spans="1:12" s="180" customFormat="1" ht="8.65" customHeight="1" x14ac:dyDescent="0.15">
      <c r="A318" s="187" t="s">
        <v>664</v>
      </c>
      <c r="B318" s="187" t="s">
        <v>1021</v>
      </c>
      <c r="C318" s="187" t="s">
        <v>769</v>
      </c>
      <c r="D318" s="187" t="s">
        <v>1022</v>
      </c>
      <c r="E318" s="187" t="s">
        <v>134</v>
      </c>
      <c r="F318" s="188"/>
      <c r="G318" s="18"/>
      <c r="H318" s="18"/>
      <c r="I318" s="189"/>
      <c r="J318" s="189">
        <v>7800</v>
      </c>
      <c r="K318" s="189">
        <f t="shared" si="22"/>
        <v>7800</v>
      </c>
      <c r="L318" s="190" t="s">
        <v>551</v>
      </c>
    </row>
    <row r="319" spans="1:12" s="180" customFormat="1" ht="8.65" customHeight="1" x14ac:dyDescent="0.15">
      <c r="A319" s="187" t="s">
        <v>664</v>
      </c>
      <c r="B319" s="187" t="s">
        <v>1023</v>
      </c>
      <c r="C319" s="187" t="s">
        <v>769</v>
      </c>
      <c r="D319" s="187" t="s">
        <v>1024</v>
      </c>
      <c r="E319" s="187" t="s">
        <v>134</v>
      </c>
      <c r="F319" s="188"/>
      <c r="G319" s="18"/>
      <c r="H319" s="18"/>
      <c r="I319" s="189"/>
      <c r="J319" s="189">
        <v>8750</v>
      </c>
      <c r="K319" s="189">
        <f t="shared" si="22"/>
        <v>8750</v>
      </c>
      <c r="L319" s="190" t="s">
        <v>551</v>
      </c>
    </row>
    <row r="320" spans="1:12" s="180" customFormat="1" ht="8.65" customHeight="1" x14ac:dyDescent="0.15">
      <c r="A320" s="187" t="s">
        <v>664</v>
      </c>
      <c r="B320" s="187" t="s">
        <v>1025</v>
      </c>
      <c r="C320" s="187" t="s">
        <v>769</v>
      </c>
      <c r="D320" s="187" t="s">
        <v>1026</v>
      </c>
      <c r="E320" s="187" t="s">
        <v>134</v>
      </c>
      <c r="F320" s="188"/>
      <c r="G320" s="18"/>
      <c r="H320" s="18"/>
      <c r="I320" s="189"/>
      <c r="J320" s="189">
        <v>180000</v>
      </c>
      <c r="K320" s="189">
        <f t="shared" si="22"/>
        <v>180000</v>
      </c>
      <c r="L320" s="190" t="s">
        <v>551</v>
      </c>
    </row>
    <row r="321" spans="1:12" s="180" customFormat="1" ht="8.65" customHeight="1" x14ac:dyDescent="0.15">
      <c r="A321" s="187" t="s">
        <v>664</v>
      </c>
      <c r="B321" s="187" t="s">
        <v>1027</v>
      </c>
      <c r="C321" s="187" t="s">
        <v>717</v>
      </c>
      <c r="D321" s="187" t="s">
        <v>1028</v>
      </c>
      <c r="E321" s="187" t="s">
        <v>134</v>
      </c>
      <c r="F321" s="188"/>
      <c r="G321" s="18"/>
      <c r="H321" s="18"/>
      <c r="I321" s="189"/>
      <c r="J321" s="189">
        <v>10500</v>
      </c>
      <c r="K321" s="189">
        <f t="shared" si="22"/>
        <v>10500</v>
      </c>
      <c r="L321" s="190" t="s">
        <v>551</v>
      </c>
    </row>
    <row r="322" spans="1:12" s="180" customFormat="1" ht="8.65" customHeight="1" x14ac:dyDescent="0.15">
      <c r="A322" s="187" t="s">
        <v>664</v>
      </c>
      <c r="B322" s="187" t="s">
        <v>678</v>
      </c>
      <c r="C322" s="187" t="s">
        <v>676</v>
      </c>
      <c r="D322" s="187" t="s">
        <v>679</v>
      </c>
      <c r="E322" s="187" t="s">
        <v>134</v>
      </c>
      <c r="F322" s="188"/>
      <c r="G322" s="18"/>
      <c r="H322" s="18"/>
      <c r="I322" s="189"/>
      <c r="J322" s="189">
        <v>45600</v>
      </c>
      <c r="K322" s="189">
        <f t="shared" si="22"/>
        <v>45600</v>
      </c>
      <c r="L322" s="190" t="s">
        <v>551</v>
      </c>
    </row>
    <row r="323" spans="1:12" s="210" customFormat="1" ht="8.65" customHeight="1" x14ac:dyDescent="0.15">
      <c r="A323" s="187" t="s">
        <v>664</v>
      </c>
      <c r="B323" s="187" t="s">
        <v>680</v>
      </c>
      <c r="C323" s="187" t="s">
        <v>676</v>
      </c>
      <c r="D323" s="187" t="s">
        <v>681</v>
      </c>
      <c r="E323" s="187" t="s">
        <v>134</v>
      </c>
      <c r="F323" s="188"/>
      <c r="G323" s="18"/>
      <c r="H323" s="18">
        <v>31504</v>
      </c>
      <c r="I323" s="189"/>
      <c r="J323" s="189">
        <f>85200-H323</f>
        <v>53696</v>
      </c>
      <c r="K323" s="189">
        <f>+J323-I323</f>
        <v>53696</v>
      </c>
      <c r="L323" s="190" t="s">
        <v>551</v>
      </c>
    </row>
    <row r="324" spans="1:12" s="180" customFormat="1" ht="8.65" customHeight="1" x14ac:dyDescent="0.15">
      <c r="A324" s="187" t="s">
        <v>664</v>
      </c>
      <c r="B324" s="187" t="s">
        <v>771</v>
      </c>
      <c r="C324" s="187" t="s">
        <v>683</v>
      </c>
      <c r="D324" s="187" t="s">
        <v>772</v>
      </c>
      <c r="E324" s="187" t="s">
        <v>134</v>
      </c>
      <c r="F324" s="188"/>
      <c r="G324" s="18"/>
      <c r="H324" s="18">
        <v>10500</v>
      </c>
      <c r="I324" s="189"/>
      <c r="J324" s="189">
        <f>10500-H324</f>
        <v>0</v>
      </c>
      <c r="K324" s="189">
        <f>+J324+-I$324</f>
        <v>0</v>
      </c>
      <c r="L324" s="190" t="s">
        <v>551</v>
      </c>
    </row>
    <row r="325" spans="1:12" s="180" customFormat="1" ht="8.65" customHeight="1" x14ac:dyDescent="0.15">
      <c r="A325" s="187" t="s">
        <v>664</v>
      </c>
      <c r="B325" s="187" t="s">
        <v>682</v>
      </c>
      <c r="C325" s="187" t="s">
        <v>683</v>
      </c>
      <c r="D325" s="187" t="s">
        <v>684</v>
      </c>
      <c r="E325" s="187" t="s">
        <v>134</v>
      </c>
      <c r="F325" s="188"/>
      <c r="G325" s="18"/>
      <c r="H325" s="18">
        <v>21000</v>
      </c>
      <c r="I325" s="189"/>
      <c r="J325" s="189">
        <f>21000-H325</f>
        <v>0</v>
      </c>
      <c r="K325" s="189">
        <f t="shared" ref="K325:K332" si="23">+J325+-I$324</f>
        <v>0</v>
      </c>
      <c r="L325" s="190" t="s">
        <v>551</v>
      </c>
    </row>
    <row r="326" spans="1:12" s="180" customFormat="1" ht="8.65" customHeight="1" x14ac:dyDescent="0.15">
      <c r="A326" s="187" t="s">
        <v>664</v>
      </c>
      <c r="B326" s="187" t="s">
        <v>773</v>
      </c>
      <c r="C326" s="187" t="s">
        <v>683</v>
      </c>
      <c r="D326" s="187" t="s">
        <v>774</v>
      </c>
      <c r="E326" s="187" t="s">
        <v>134</v>
      </c>
      <c r="F326" s="188"/>
      <c r="G326" s="18"/>
      <c r="H326" s="18">
        <v>5250</v>
      </c>
      <c r="I326" s="189"/>
      <c r="J326" s="189">
        <f>5250-H326</f>
        <v>0</v>
      </c>
      <c r="K326" s="189">
        <f t="shared" si="23"/>
        <v>0</v>
      </c>
      <c r="L326" s="190" t="s">
        <v>551</v>
      </c>
    </row>
    <row r="327" spans="1:12" s="180" customFormat="1" ht="8.65" customHeight="1" x14ac:dyDescent="0.15">
      <c r="A327" s="187" t="s">
        <v>664</v>
      </c>
      <c r="B327" s="187" t="s">
        <v>1029</v>
      </c>
      <c r="C327" s="187" t="s">
        <v>683</v>
      </c>
      <c r="D327" s="187" t="s">
        <v>1030</v>
      </c>
      <c r="E327" s="187" t="s">
        <v>134</v>
      </c>
      <c r="F327" s="188"/>
      <c r="G327" s="18"/>
      <c r="H327" s="18">
        <v>3000</v>
      </c>
      <c r="I327" s="189"/>
      <c r="J327" s="189">
        <f>3000-H327</f>
        <v>0</v>
      </c>
      <c r="K327" s="189">
        <f t="shared" si="23"/>
        <v>0</v>
      </c>
      <c r="L327" s="190" t="s">
        <v>551</v>
      </c>
    </row>
    <row r="328" spans="1:12" s="180" customFormat="1" ht="8.65" customHeight="1" x14ac:dyDescent="0.15">
      <c r="A328" s="187" t="s">
        <v>664</v>
      </c>
      <c r="B328" s="187" t="s">
        <v>775</v>
      </c>
      <c r="C328" s="187" t="s">
        <v>683</v>
      </c>
      <c r="D328" s="187" t="s">
        <v>776</v>
      </c>
      <c r="E328" s="187" t="s">
        <v>134</v>
      </c>
      <c r="F328" s="188"/>
      <c r="G328" s="18"/>
      <c r="H328" s="18">
        <v>3300</v>
      </c>
      <c r="I328" s="189"/>
      <c r="J328" s="189">
        <f>3300-H$328</f>
        <v>0</v>
      </c>
      <c r="K328" s="189">
        <f t="shared" si="23"/>
        <v>0</v>
      </c>
      <c r="L328" s="190" t="s">
        <v>551</v>
      </c>
    </row>
    <row r="329" spans="1:12" s="180" customFormat="1" ht="8.65" customHeight="1" x14ac:dyDescent="0.15">
      <c r="A329" s="187" t="s">
        <v>664</v>
      </c>
      <c r="B329" s="187" t="s">
        <v>1031</v>
      </c>
      <c r="C329" s="187" t="s">
        <v>683</v>
      </c>
      <c r="D329" s="187" t="s">
        <v>1032</v>
      </c>
      <c r="E329" s="187" t="s">
        <v>134</v>
      </c>
      <c r="F329" s="188"/>
      <c r="G329" s="18"/>
      <c r="H329" s="18">
        <v>422970</v>
      </c>
      <c r="I329" s="189"/>
      <c r="J329" s="189">
        <f>3300-H$328</f>
        <v>0</v>
      </c>
      <c r="K329" s="189">
        <f t="shared" si="23"/>
        <v>0</v>
      </c>
      <c r="L329" s="190" t="s">
        <v>551</v>
      </c>
    </row>
    <row r="330" spans="1:12" s="180" customFormat="1" ht="8.65" customHeight="1" x14ac:dyDescent="0.15">
      <c r="A330" s="187" t="s">
        <v>664</v>
      </c>
      <c r="B330" s="187" t="s">
        <v>1031</v>
      </c>
      <c r="C330" s="187" t="s">
        <v>683</v>
      </c>
      <c r="D330" s="187" t="s">
        <v>1033</v>
      </c>
      <c r="E330" s="187" t="s">
        <v>134</v>
      </c>
      <c r="F330" s="188"/>
      <c r="G330" s="18"/>
      <c r="H330" s="18">
        <v>263590</v>
      </c>
      <c r="I330" s="189"/>
      <c r="J330" s="189">
        <f t="shared" ref="J330:J332" si="24">3300-H$328</f>
        <v>0</v>
      </c>
      <c r="K330" s="189">
        <f t="shared" si="23"/>
        <v>0</v>
      </c>
      <c r="L330" s="190" t="s">
        <v>551</v>
      </c>
    </row>
    <row r="331" spans="1:12" s="180" customFormat="1" ht="8.65" customHeight="1" x14ac:dyDescent="0.15">
      <c r="A331" s="187" t="s">
        <v>664</v>
      </c>
      <c r="B331" s="187" t="s">
        <v>687</v>
      </c>
      <c r="C331" s="187" t="s">
        <v>683</v>
      </c>
      <c r="D331" s="187" t="s">
        <v>688</v>
      </c>
      <c r="E331" s="187" t="s">
        <v>134</v>
      </c>
      <c r="F331" s="188"/>
      <c r="G331" s="18"/>
      <c r="H331" s="18">
        <v>70000</v>
      </c>
      <c r="I331" s="189"/>
      <c r="J331" s="189">
        <f t="shared" si="24"/>
        <v>0</v>
      </c>
      <c r="K331" s="189">
        <f t="shared" si="23"/>
        <v>0</v>
      </c>
      <c r="L331" s="190" t="s">
        <v>551</v>
      </c>
    </row>
    <row r="332" spans="1:12" s="216" customFormat="1" ht="8.65" customHeight="1" x14ac:dyDescent="0.15">
      <c r="A332" s="187" t="s">
        <v>664</v>
      </c>
      <c r="B332" s="187" t="s">
        <v>689</v>
      </c>
      <c r="C332" s="187" t="s">
        <v>683</v>
      </c>
      <c r="D332" s="187" t="s">
        <v>690</v>
      </c>
      <c r="E332" s="187" t="s">
        <v>134</v>
      </c>
      <c r="F332" s="188"/>
      <c r="G332" s="18"/>
      <c r="H332" s="18">
        <v>5000</v>
      </c>
      <c r="I332" s="189"/>
      <c r="J332" s="189">
        <f t="shared" si="24"/>
        <v>0</v>
      </c>
      <c r="K332" s="189">
        <f t="shared" si="23"/>
        <v>0</v>
      </c>
      <c r="L332" s="190" t="s">
        <v>551</v>
      </c>
    </row>
    <row r="333" spans="1:12" s="180" customFormat="1" ht="8.65" customHeight="1" x14ac:dyDescent="0.15">
      <c r="A333" s="187" t="s">
        <v>664</v>
      </c>
      <c r="B333" s="187" t="s">
        <v>1034</v>
      </c>
      <c r="C333" s="187" t="s">
        <v>694</v>
      </c>
      <c r="D333" s="187" t="s">
        <v>1035</v>
      </c>
      <c r="E333" s="187" t="s">
        <v>134</v>
      </c>
      <c r="F333" s="188"/>
      <c r="G333" s="18"/>
      <c r="H333" s="18"/>
      <c r="I333" s="189"/>
      <c r="J333" s="189">
        <v>94800</v>
      </c>
      <c r="K333" s="189">
        <f t="shared" si="22"/>
        <v>94800</v>
      </c>
      <c r="L333" s="190" t="s">
        <v>551</v>
      </c>
    </row>
    <row r="334" spans="1:12" s="180" customFormat="1" ht="8.65" customHeight="1" x14ac:dyDescent="0.15">
      <c r="A334" s="187" t="s">
        <v>664</v>
      </c>
      <c r="B334" s="187" t="s">
        <v>1036</v>
      </c>
      <c r="C334" s="187" t="s">
        <v>666</v>
      </c>
      <c r="D334" s="187" t="s">
        <v>1037</v>
      </c>
      <c r="E334" s="187" t="s">
        <v>134</v>
      </c>
      <c r="F334" s="188"/>
      <c r="G334" s="18"/>
      <c r="H334" s="18"/>
      <c r="I334" s="189"/>
      <c r="J334" s="189">
        <v>64800</v>
      </c>
      <c r="K334" s="189">
        <f t="shared" si="22"/>
        <v>64800</v>
      </c>
      <c r="L334" s="190" t="s">
        <v>551</v>
      </c>
    </row>
    <row r="335" spans="1:12" s="180" customFormat="1" ht="8.65" customHeight="1" x14ac:dyDescent="0.15">
      <c r="A335" s="187" t="s">
        <v>664</v>
      </c>
      <c r="B335" s="187" t="s">
        <v>1038</v>
      </c>
      <c r="C335" s="187" t="s">
        <v>666</v>
      </c>
      <c r="D335" s="187" t="s">
        <v>1039</v>
      </c>
      <c r="E335" s="187" t="s">
        <v>134</v>
      </c>
      <c r="F335" s="188"/>
      <c r="G335" s="18"/>
      <c r="H335" s="18"/>
      <c r="I335" s="189"/>
      <c r="J335" s="189">
        <v>22200</v>
      </c>
      <c r="K335" s="189">
        <f t="shared" si="22"/>
        <v>22200</v>
      </c>
      <c r="L335" s="190" t="s">
        <v>551</v>
      </c>
    </row>
    <row r="336" spans="1:12" s="180" customFormat="1" ht="8.65" customHeight="1" x14ac:dyDescent="0.15">
      <c r="A336" s="187" t="s">
        <v>664</v>
      </c>
      <c r="B336" s="187" t="s">
        <v>861</v>
      </c>
      <c r="C336" s="187" t="s">
        <v>666</v>
      </c>
      <c r="D336" s="187" t="s">
        <v>862</v>
      </c>
      <c r="E336" s="187" t="s">
        <v>134</v>
      </c>
      <c r="F336" s="188"/>
      <c r="G336" s="18"/>
      <c r="H336" s="18"/>
      <c r="I336" s="189"/>
      <c r="J336" s="189">
        <v>4350</v>
      </c>
      <c r="K336" s="189">
        <f t="shared" si="22"/>
        <v>4350</v>
      </c>
      <c r="L336" s="190" t="s">
        <v>551</v>
      </c>
    </row>
    <row r="337" spans="1:12" s="180" customFormat="1" ht="8.65" customHeight="1" x14ac:dyDescent="0.15">
      <c r="A337" s="187" t="s">
        <v>664</v>
      </c>
      <c r="B337" s="187" t="s">
        <v>956</v>
      </c>
      <c r="C337" s="187" t="s">
        <v>666</v>
      </c>
      <c r="D337" s="187" t="s">
        <v>957</v>
      </c>
      <c r="E337" s="187" t="s">
        <v>134</v>
      </c>
      <c r="F337" s="188"/>
      <c r="G337" s="18"/>
      <c r="H337" s="18"/>
      <c r="I337" s="189"/>
      <c r="J337" s="189">
        <v>22500</v>
      </c>
      <c r="K337" s="189">
        <f t="shared" si="22"/>
        <v>22500</v>
      </c>
      <c r="L337" s="190" t="s">
        <v>551</v>
      </c>
    </row>
    <row r="338" spans="1:12" s="180" customFormat="1" ht="8.65" customHeight="1" x14ac:dyDescent="0.15">
      <c r="A338" s="187" t="s">
        <v>664</v>
      </c>
      <c r="B338" s="187" t="s">
        <v>904</v>
      </c>
      <c r="C338" s="187" t="s">
        <v>683</v>
      </c>
      <c r="D338" s="187" t="s">
        <v>905</v>
      </c>
      <c r="E338" s="187" t="s">
        <v>134</v>
      </c>
      <c r="F338" s="188"/>
      <c r="G338" s="18"/>
      <c r="H338" s="18">
        <v>2550</v>
      </c>
      <c r="I338" s="189"/>
      <c r="J338" s="189">
        <f>2550-H$338</f>
        <v>0</v>
      </c>
      <c r="K338" s="189">
        <f>+J338-I$338</f>
        <v>0</v>
      </c>
      <c r="L338" s="190" t="s">
        <v>551</v>
      </c>
    </row>
    <row r="339" spans="1:12" s="180" customFormat="1" ht="8.65" customHeight="1" x14ac:dyDescent="0.15">
      <c r="A339" s="187" t="s">
        <v>664</v>
      </c>
      <c r="B339" s="187" t="s">
        <v>777</v>
      </c>
      <c r="C339" s="187" t="s">
        <v>683</v>
      </c>
      <c r="D339" s="187" t="s">
        <v>778</v>
      </c>
      <c r="E339" s="187" t="s">
        <v>134</v>
      </c>
      <c r="F339" s="188"/>
      <c r="G339" s="18"/>
      <c r="H339" s="18">
        <v>12250</v>
      </c>
      <c r="I339" s="189"/>
      <c r="J339" s="189">
        <f t="shared" ref="J339:J340" si="25">2550-H$338</f>
        <v>0</v>
      </c>
      <c r="K339" s="189">
        <f t="shared" ref="K339:K340" si="26">+J339-I$338</f>
        <v>0</v>
      </c>
      <c r="L339" s="190" t="s">
        <v>551</v>
      </c>
    </row>
    <row r="340" spans="1:12" s="180" customFormat="1" ht="8.65" customHeight="1" x14ac:dyDescent="0.15">
      <c r="A340" s="187" t="s">
        <v>664</v>
      </c>
      <c r="B340" s="187" t="s">
        <v>834</v>
      </c>
      <c r="C340" s="187" t="s">
        <v>683</v>
      </c>
      <c r="D340" s="187" t="s">
        <v>1040</v>
      </c>
      <c r="E340" s="187" t="s">
        <v>134</v>
      </c>
      <c r="F340" s="188"/>
      <c r="G340" s="18"/>
      <c r="H340" s="18">
        <v>17000</v>
      </c>
      <c r="I340" s="189"/>
      <c r="J340" s="189">
        <f t="shared" si="25"/>
        <v>0</v>
      </c>
      <c r="K340" s="189">
        <f t="shared" si="26"/>
        <v>0</v>
      </c>
      <c r="L340" s="190" t="s">
        <v>551</v>
      </c>
    </row>
    <row r="341" spans="1:12" s="180" customFormat="1" ht="8.65" customHeight="1" x14ac:dyDescent="0.15">
      <c r="A341" s="187" t="s">
        <v>664</v>
      </c>
      <c r="B341" s="187" t="s">
        <v>1041</v>
      </c>
      <c r="C341" s="187" t="s">
        <v>694</v>
      </c>
      <c r="D341" s="187" t="s">
        <v>1042</v>
      </c>
      <c r="E341" s="187" t="s">
        <v>134</v>
      </c>
      <c r="F341" s="188"/>
      <c r="G341" s="18"/>
      <c r="H341" s="18"/>
      <c r="I341" s="189"/>
      <c r="J341" s="189">
        <v>20000</v>
      </c>
      <c r="K341" s="189">
        <f t="shared" si="22"/>
        <v>20000</v>
      </c>
      <c r="L341" s="190" t="s">
        <v>551</v>
      </c>
    </row>
    <row r="342" spans="1:12" s="180" customFormat="1" ht="8.65" customHeight="1" x14ac:dyDescent="0.15">
      <c r="A342" s="187" t="s">
        <v>664</v>
      </c>
      <c r="B342" s="187" t="s">
        <v>1043</v>
      </c>
      <c r="C342" s="187" t="s">
        <v>683</v>
      </c>
      <c r="D342" s="187" t="s">
        <v>1044</v>
      </c>
      <c r="E342" s="187" t="s">
        <v>134</v>
      </c>
      <c r="F342" s="188"/>
      <c r="G342" s="18"/>
      <c r="H342" s="18">
        <v>8500</v>
      </c>
      <c r="I342" s="189"/>
      <c r="J342" s="189">
        <f>8500-H342</f>
        <v>0</v>
      </c>
      <c r="K342" s="189">
        <f>+J342-I342</f>
        <v>0</v>
      </c>
      <c r="L342" s="190" t="s">
        <v>551</v>
      </c>
    </row>
    <row r="343" spans="1:12" s="180" customFormat="1" ht="8.65" customHeight="1" x14ac:dyDescent="0.15">
      <c r="A343" s="187" t="s">
        <v>664</v>
      </c>
      <c r="B343" s="187" t="s">
        <v>1045</v>
      </c>
      <c r="C343" s="187" t="s">
        <v>666</v>
      </c>
      <c r="D343" s="187" t="s">
        <v>1046</v>
      </c>
      <c r="E343" s="187" t="s">
        <v>134</v>
      </c>
      <c r="F343" s="188"/>
      <c r="G343" s="18"/>
      <c r="H343" s="18"/>
      <c r="I343" s="189"/>
      <c r="J343" s="189">
        <v>84000</v>
      </c>
      <c r="K343" s="189">
        <f t="shared" si="22"/>
        <v>84000</v>
      </c>
      <c r="L343" s="190" t="s">
        <v>551</v>
      </c>
    </row>
    <row r="344" spans="1:12" s="180" customFormat="1" ht="8.65" customHeight="1" x14ac:dyDescent="0.15">
      <c r="A344" s="187" t="s">
        <v>664</v>
      </c>
      <c r="B344" s="187" t="s">
        <v>693</v>
      </c>
      <c r="C344" s="187" t="s">
        <v>694</v>
      </c>
      <c r="D344" s="187" t="s">
        <v>695</v>
      </c>
      <c r="E344" s="187" t="s">
        <v>134</v>
      </c>
      <c r="F344" s="188"/>
      <c r="G344" s="18"/>
      <c r="H344" s="18">
        <v>165697</v>
      </c>
      <c r="I344" s="189"/>
      <c r="J344" s="189">
        <f>168000-H344</f>
        <v>2303</v>
      </c>
      <c r="K344" s="189">
        <f>+J344-I344</f>
        <v>2303</v>
      </c>
      <c r="L344" s="190" t="s">
        <v>551</v>
      </c>
    </row>
    <row r="345" spans="1:12" s="180" customFormat="1" ht="8.65" customHeight="1" x14ac:dyDescent="0.15">
      <c r="A345" s="187" t="s">
        <v>664</v>
      </c>
      <c r="B345" s="187" t="s">
        <v>1047</v>
      </c>
      <c r="C345" s="187" t="s">
        <v>694</v>
      </c>
      <c r="D345" s="187" t="s">
        <v>1048</v>
      </c>
      <c r="E345" s="187" t="s">
        <v>134</v>
      </c>
      <c r="F345" s="188"/>
      <c r="G345" s="18"/>
      <c r="H345" s="18"/>
      <c r="I345" s="189"/>
      <c r="J345" s="189">
        <v>58500</v>
      </c>
      <c r="K345" s="189">
        <f t="shared" si="22"/>
        <v>58500</v>
      </c>
      <c r="L345" s="190" t="s">
        <v>551</v>
      </c>
    </row>
    <row r="346" spans="1:12" s="180" customFormat="1" ht="8.65" customHeight="1" x14ac:dyDescent="0.15">
      <c r="A346" s="187" t="s">
        <v>664</v>
      </c>
      <c r="B346" s="187" t="s">
        <v>696</v>
      </c>
      <c r="C346" s="187" t="s">
        <v>694</v>
      </c>
      <c r="D346" s="187" t="s">
        <v>697</v>
      </c>
      <c r="E346" s="187" t="s">
        <v>134</v>
      </c>
      <c r="F346" s="188"/>
      <c r="G346" s="18"/>
      <c r="H346" s="18"/>
      <c r="I346" s="189"/>
      <c r="J346" s="189">
        <v>117000</v>
      </c>
      <c r="K346" s="189">
        <f t="shared" si="22"/>
        <v>117000</v>
      </c>
      <c r="L346" s="190" t="s">
        <v>551</v>
      </c>
    </row>
    <row r="347" spans="1:12" s="180" customFormat="1" ht="8.65" customHeight="1" x14ac:dyDescent="0.15">
      <c r="A347" s="187" t="s">
        <v>664</v>
      </c>
      <c r="B347" s="187" t="s">
        <v>1049</v>
      </c>
      <c r="C347" s="187" t="s">
        <v>694</v>
      </c>
      <c r="D347" s="187" t="s">
        <v>1050</v>
      </c>
      <c r="E347" s="187" t="s">
        <v>134</v>
      </c>
      <c r="F347" s="188"/>
      <c r="G347" s="18"/>
      <c r="H347" s="18"/>
      <c r="I347" s="189"/>
      <c r="J347" s="189">
        <v>60000</v>
      </c>
      <c r="K347" s="189">
        <f t="shared" si="22"/>
        <v>60000</v>
      </c>
      <c r="L347" s="190" t="s">
        <v>551</v>
      </c>
    </row>
    <row r="348" spans="1:12" s="180" customFormat="1" ht="8.65" customHeight="1" x14ac:dyDescent="0.15">
      <c r="A348" s="187" t="s">
        <v>664</v>
      </c>
      <c r="B348" s="187" t="s">
        <v>1051</v>
      </c>
      <c r="C348" s="187" t="s">
        <v>694</v>
      </c>
      <c r="D348" s="187" t="s">
        <v>1052</v>
      </c>
      <c r="E348" s="187" t="s">
        <v>134</v>
      </c>
      <c r="F348" s="188"/>
      <c r="G348" s="18"/>
      <c r="H348" s="18">
        <v>325000</v>
      </c>
      <c r="I348" s="189"/>
      <c r="J348" s="189">
        <f>325000-H$348</f>
        <v>0</v>
      </c>
      <c r="K348" s="189">
        <f>+J348-I$348</f>
        <v>0</v>
      </c>
      <c r="L348" s="190" t="s">
        <v>551</v>
      </c>
    </row>
    <row r="349" spans="1:12" s="180" customFormat="1" ht="8.65" customHeight="1" x14ac:dyDescent="0.15">
      <c r="A349" s="187" t="s">
        <v>664</v>
      </c>
      <c r="B349" s="187" t="s">
        <v>1053</v>
      </c>
      <c r="C349" s="187" t="s">
        <v>694</v>
      </c>
      <c r="D349" s="187" t="s">
        <v>1054</v>
      </c>
      <c r="E349" s="187" t="s">
        <v>134</v>
      </c>
      <c r="F349" s="188"/>
      <c r="G349" s="18"/>
      <c r="H349" s="18">
        <v>325000</v>
      </c>
      <c r="I349" s="189"/>
      <c r="J349" s="189">
        <f t="shared" ref="J349:J352" si="27">325000-H$348</f>
        <v>0</v>
      </c>
      <c r="K349" s="189">
        <f t="shared" ref="K349:K352" si="28">+J349-I$348</f>
        <v>0</v>
      </c>
      <c r="L349" s="190" t="s">
        <v>551</v>
      </c>
    </row>
    <row r="350" spans="1:12" s="180" customFormat="1" ht="8.65" customHeight="1" x14ac:dyDescent="0.15">
      <c r="A350" s="187" t="s">
        <v>664</v>
      </c>
      <c r="B350" s="187" t="s">
        <v>1055</v>
      </c>
      <c r="C350" s="187" t="s">
        <v>694</v>
      </c>
      <c r="D350" s="187" t="s">
        <v>1056</v>
      </c>
      <c r="E350" s="187" t="s">
        <v>134</v>
      </c>
      <c r="F350" s="188"/>
      <c r="G350" s="18"/>
      <c r="H350" s="18">
        <v>325000</v>
      </c>
      <c r="I350" s="189"/>
      <c r="J350" s="189">
        <f t="shared" si="27"/>
        <v>0</v>
      </c>
      <c r="K350" s="189">
        <f t="shared" si="28"/>
        <v>0</v>
      </c>
      <c r="L350" s="190" t="s">
        <v>551</v>
      </c>
    </row>
    <row r="351" spans="1:12" s="180" customFormat="1" ht="8.65" customHeight="1" x14ac:dyDescent="0.15">
      <c r="A351" s="187" t="s">
        <v>664</v>
      </c>
      <c r="B351" s="187" t="s">
        <v>1057</v>
      </c>
      <c r="C351" s="187" t="s">
        <v>694</v>
      </c>
      <c r="D351" s="187" t="s">
        <v>1058</v>
      </c>
      <c r="E351" s="187" t="s">
        <v>134</v>
      </c>
      <c r="F351" s="188"/>
      <c r="G351" s="18"/>
      <c r="H351" s="18">
        <v>561600</v>
      </c>
      <c r="I351" s="189"/>
      <c r="J351" s="189">
        <f t="shared" si="27"/>
        <v>0</v>
      </c>
      <c r="K351" s="189">
        <f t="shared" si="28"/>
        <v>0</v>
      </c>
      <c r="L351" s="190" t="s">
        <v>551</v>
      </c>
    </row>
    <row r="352" spans="1:12" s="180" customFormat="1" ht="8.65" customHeight="1" x14ac:dyDescent="0.15">
      <c r="A352" s="187" t="s">
        <v>664</v>
      </c>
      <c r="B352" s="187" t="s">
        <v>1059</v>
      </c>
      <c r="C352" s="187" t="s">
        <v>694</v>
      </c>
      <c r="D352" s="187" t="s">
        <v>1060</v>
      </c>
      <c r="E352" s="187" t="s">
        <v>134</v>
      </c>
      <c r="F352" s="188"/>
      <c r="G352" s="18"/>
      <c r="H352" s="18">
        <v>561600</v>
      </c>
      <c r="I352" s="189"/>
      <c r="J352" s="189">
        <f t="shared" si="27"/>
        <v>0</v>
      </c>
      <c r="K352" s="189">
        <f t="shared" si="28"/>
        <v>0</v>
      </c>
      <c r="L352" s="190" t="s">
        <v>551</v>
      </c>
    </row>
    <row r="353" spans="1:12" s="180" customFormat="1" ht="8.65" customHeight="1" x14ac:dyDescent="0.15">
      <c r="A353" s="187" t="s">
        <v>664</v>
      </c>
      <c r="B353" s="187" t="s">
        <v>1061</v>
      </c>
      <c r="C353" s="187" t="s">
        <v>694</v>
      </c>
      <c r="D353" s="187" t="s">
        <v>1062</v>
      </c>
      <c r="E353" s="187" t="s">
        <v>134</v>
      </c>
      <c r="F353" s="188"/>
      <c r="G353" s="18"/>
      <c r="H353" s="18"/>
      <c r="I353" s="189"/>
      <c r="J353" s="189">
        <v>15960</v>
      </c>
      <c r="K353" s="189">
        <f t="shared" si="22"/>
        <v>15960</v>
      </c>
      <c r="L353" s="190" t="s">
        <v>551</v>
      </c>
    </row>
    <row r="354" spans="1:12" s="180" customFormat="1" ht="8.65" customHeight="1" x14ac:dyDescent="0.15">
      <c r="A354" s="187" t="s">
        <v>664</v>
      </c>
      <c r="B354" s="187" t="s">
        <v>1063</v>
      </c>
      <c r="C354" s="187" t="s">
        <v>694</v>
      </c>
      <c r="D354" s="187" t="s">
        <v>1064</v>
      </c>
      <c r="E354" s="187" t="s">
        <v>134</v>
      </c>
      <c r="F354" s="188"/>
      <c r="G354" s="18"/>
      <c r="H354" s="18"/>
      <c r="I354" s="189"/>
      <c r="J354" s="189">
        <v>7500</v>
      </c>
      <c r="K354" s="189">
        <f t="shared" si="22"/>
        <v>7500</v>
      </c>
      <c r="L354" s="190" t="s">
        <v>551</v>
      </c>
    </row>
    <row r="355" spans="1:12" s="180" customFormat="1" ht="8.65" customHeight="1" x14ac:dyDescent="0.15">
      <c r="A355" s="187" t="s">
        <v>664</v>
      </c>
      <c r="B355" s="187" t="s">
        <v>1065</v>
      </c>
      <c r="C355" s="187" t="s">
        <v>694</v>
      </c>
      <c r="D355" s="187" t="s">
        <v>1066</v>
      </c>
      <c r="E355" s="187" t="s">
        <v>134</v>
      </c>
      <c r="F355" s="188"/>
      <c r="G355" s="18"/>
      <c r="H355" s="18"/>
      <c r="I355" s="189"/>
      <c r="J355" s="189">
        <v>3750</v>
      </c>
      <c r="K355" s="189">
        <f t="shared" si="22"/>
        <v>3750</v>
      </c>
      <c r="L355" s="190" t="s">
        <v>551</v>
      </c>
    </row>
    <row r="356" spans="1:12" s="180" customFormat="1" ht="8.65" customHeight="1" x14ac:dyDescent="0.15">
      <c r="A356" s="187" t="s">
        <v>664</v>
      </c>
      <c r="B356" s="187" t="s">
        <v>1067</v>
      </c>
      <c r="C356" s="187" t="s">
        <v>694</v>
      </c>
      <c r="D356" s="187" t="s">
        <v>1068</v>
      </c>
      <c r="E356" s="187" t="s">
        <v>134</v>
      </c>
      <c r="F356" s="188"/>
      <c r="G356" s="18"/>
      <c r="H356" s="18"/>
      <c r="I356" s="189"/>
      <c r="J356" s="189">
        <v>62400</v>
      </c>
      <c r="K356" s="189">
        <f t="shared" si="22"/>
        <v>62400</v>
      </c>
      <c r="L356" s="190" t="s">
        <v>551</v>
      </c>
    </row>
    <row r="357" spans="1:12" s="180" customFormat="1" ht="8.65" customHeight="1" x14ac:dyDescent="0.15">
      <c r="A357" s="187" t="s">
        <v>664</v>
      </c>
      <c r="B357" s="187" t="s">
        <v>1069</v>
      </c>
      <c r="C357" s="187" t="s">
        <v>694</v>
      </c>
      <c r="D357" s="187" t="s">
        <v>1070</v>
      </c>
      <c r="E357" s="187" t="s">
        <v>134</v>
      </c>
      <c r="F357" s="188"/>
      <c r="G357" s="18"/>
      <c r="H357" s="18"/>
      <c r="I357" s="189"/>
      <c r="J357" s="189">
        <v>36000</v>
      </c>
      <c r="K357" s="189">
        <f t="shared" si="22"/>
        <v>36000</v>
      </c>
      <c r="L357" s="190" t="s">
        <v>551</v>
      </c>
    </row>
    <row r="358" spans="1:12" s="180" customFormat="1" ht="8.65" customHeight="1" x14ac:dyDescent="0.15">
      <c r="A358" s="187" t="s">
        <v>664</v>
      </c>
      <c r="B358" s="187" t="s">
        <v>1071</v>
      </c>
      <c r="C358" s="187" t="s">
        <v>694</v>
      </c>
      <c r="D358" s="187" t="s">
        <v>1072</v>
      </c>
      <c r="E358" s="187" t="s">
        <v>134</v>
      </c>
      <c r="F358" s="188"/>
      <c r="G358" s="18"/>
      <c r="H358" s="18"/>
      <c r="I358" s="189"/>
      <c r="J358" s="189">
        <v>36000</v>
      </c>
      <c r="K358" s="189">
        <f t="shared" si="22"/>
        <v>36000</v>
      </c>
      <c r="L358" s="190" t="s">
        <v>551</v>
      </c>
    </row>
    <row r="359" spans="1:12" s="180" customFormat="1" ht="8.65" customHeight="1" x14ac:dyDescent="0.15">
      <c r="A359" s="187" t="s">
        <v>664</v>
      </c>
      <c r="B359" s="187" t="s">
        <v>1073</v>
      </c>
      <c r="C359" s="187" t="s">
        <v>694</v>
      </c>
      <c r="D359" s="187" t="s">
        <v>1074</v>
      </c>
      <c r="E359" s="187" t="s">
        <v>134</v>
      </c>
      <c r="F359" s="188"/>
      <c r="G359" s="18"/>
      <c r="H359" s="18"/>
      <c r="I359" s="189"/>
      <c r="J359" s="189">
        <v>36000</v>
      </c>
      <c r="K359" s="189">
        <f t="shared" si="22"/>
        <v>36000</v>
      </c>
      <c r="L359" s="190" t="s">
        <v>551</v>
      </c>
    </row>
    <row r="360" spans="1:12" s="180" customFormat="1" ht="8.65" customHeight="1" x14ac:dyDescent="0.15">
      <c r="A360" s="187" t="s">
        <v>664</v>
      </c>
      <c r="B360" s="187" t="s">
        <v>1075</v>
      </c>
      <c r="C360" s="187" t="s">
        <v>694</v>
      </c>
      <c r="D360" s="187" t="s">
        <v>1076</v>
      </c>
      <c r="E360" s="187" t="s">
        <v>134</v>
      </c>
      <c r="F360" s="188"/>
      <c r="G360" s="18"/>
      <c r="H360" s="18"/>
      <c r="I360" s="189"/>
      <c r="J360" s="189">
        <v>36000</v>
      </c>
      <c r="K360" s="189">
        <f t="shared" si="22"/>
        <v>36000</v>
      </c>
      <c r="L360" s="190" t="s">
        <v>551</v>
      </c>
    </row>
    <row r="361" spans="1:12" s="180" customFormat="1" ht="8.65" customHeight="1" x14ac:dyDescent="0.15">
      <c r="A361" s="187" t="s">
        <v>664</v>
      </c>
      <c r="B361" s="187" t="s">
        <v>1077</v>
      </c>
      <c r="C361" s="187" t="s">
        <v>694</v>
      </c>
      <c r="D361" s="187" t="s">
        <v>1078</v>
      </c>
      <c r="E361" s="187" t="s">
        <v>134</v>
      </c>
      <c r="F361" s="188"/>
      <c r="G361" s="18"/>
      <c r="H361" s="18"/>
      <c r="I361" s="189"/>
      <c r="J361" s="189">
        <v>24000</v>
      </c>
      <c r="K361" s="189">
        <f t="shared" si="22"/>
        <v>24000</v>
      </c>
      <c r="L361" s="190" t="s">
        <v>551</v>
      </c>
    </row>
    <row r="362" spans="1:12" s="180" customFormat="1" ht="8.65" customHeight="1" x14ac:dyDescent="0.15">
      <c r="A362" s="187" t="s">
        <v>664</v>
      </c>
      <c r="B362" s="187" t="s">
        <v>1079</v>
      </c>
      <c r="C362" s="187" t="s">
        <v>694</v>
      </c>
      <c r="D362" s="187" t="s">
        <v>1080</v>
      </c>
      <c r="E362" s="187" t="s">
        <v>134</v>
      </c>
      <c r="F362" s="188"/>
      <c r="G362" s="18"/>
      <c r="H362" s="18"/>
      <c r="I362" s="189"/>
      <c r="J362" s="189">
        <v>24000</v>
      </c>
      <c r="K362" s="189">
        <f t="shared" si="22"/>
        <v>24000</v>
      </c>
      <c r="L362" s="190" t="s">
        <v>551</v>
      </c>
    </row>
    <row r="363" spans="1:12" s="180" customFormat="1" ht="8.65" customHeight="1" x14ac:dyDescent="0.15">
      <c r="A363" s="187" t="s">
        <v>664</v>
      </c>
      <c r="B363" s="187" t="s">
        <v>1081</v>
      </c>
      <c r="C363" s="187" t="s">
        <v>694</v>
      </c>
      <c r="D363" s="187" t="s">
        <v>1082</v>
      </c>
      <c r="E363" s="187" t="s">
        <v>134</v>
      </c>
      <c r="F363" s="188"/>
      <c r="G363" s="18"/>
      <c r="H363" s="18"/>
      <c r="I363" s="189"/>
      <c r="J363" s="189">
        <v>13200</v>
      </c>
      <c r="K363" s="189">
        <f t="shared" si="22"/>
        <v>13200</v>
      </c>
      <c r="L363" s="190" t="s">
        <v>551</v>
      </c>
    </row>
    <row r="364" spans="1:12" s="180" customFormat="1" ht="8.65" customHeight="1" x14ac:dyDescent="0.15">
      <c r="A364" s="187" t="s">
        <v>664</v>
      </c>
      <c r="B364" s="187" t="s">
        <v>1083</v>
      </c>
      <c r="C364" s="187" t="s">
        <v>717</v>
      </c>
      <c r="D364" s="187" t="s">
        <v>1084</v>
      </c>
      <c r="E364" s="187" t="s">
        <v>134</v>
      </c>
      <c r="F364" s="188"/>
      <c r="G364" s="18"/>
      <c r="H364" s="18">
        <v>33045</v>
      </c>
      <c r="I364" s="189"/>
      <c r="J364" s="189">
        <f>48000-H364</f>
        <v>14955</v>
      </c>
      <c r="K364" s="189">
        <f>+J364-I364</f>
        <v>14955</v>
      </c>
      <c r="L364" s="190" t="s">
        <v>551</v>
      </c>
    </row>
    <row r="365" spans="1:12" s="180" customFormat="1" ht="8.65" customHeight="1" x14ac:dyDescent="0.15">
      <c r="A365" s="187" t="s">
        <v>664</v>
      </c>
      <c r="B365" s="187" t="s">
        <v>1085</v>
      </c>
      <c r="C365" s="187" t="s">
        <v>676</v>
      </c>
      <c r="D365" s="187" t="s">
        <v>1086</v>
      </c>
      <c r="E365" s="187" t="s">
        <v>134</v>
      </c>
      <c r="F365" s="188"/>
      <c r="G365" s="18"/>
      <c r="H365" s="18">
        <v>102000</v>
      </c>
      <c r="I365" s="189"/>
      <c r="J365" s="189">
        <f>102000-H365</f>
        <v>0</v>
      </c>
      <c r="K365" s="189">
        <f>+J365-I365</f>
        <v>0</v>
      </c>
      <c r="L365" s="190" t="s">
        <v>551</v>
      </c>
    </row>
    <row r="366" spans="1:12" s="180" customFormat="1" ht="8.65" customHeight="1" x14ac:dyDescent="0.15">
      <c r="A366" s="187" t="s">
        <v>664</v>
      </c>
      <c r="B366" s="187" t="s">
        <v>1087</v>
      </c>
      <c r="C366" s="187" t="s">
        <v>694</v>
      </c>
      <c r="D366" s="187" t="s">
        <v>1088</v>
      </c>
      <c r="E366" s="187" t="s">
        <v>134</v>
      </c>
      <c r="F366" s="188"/>
      <c r="G366" s="18"/>
      <c r="H366" s="18"/>
      <c r="I366" s="189"/>
      <c r="J366" s="189">
        <v>94800</v>
      </c>
      <c r="K366" s="189">
        <f t="shared" si="22"/>
        <v>94800</v>
      </c>
      <c r="L366" s="190" t="s">
        <v>551</v>
      </c>
    </row>
    <row r="367" spans="1:12" s="180" customFormat="1" ht="8.65" customHeight="1" x14ac:dyDescent="0.15">
      <c r="A367" s="187" t="s">
        <v>664</v>
      </c>
      <c r="B367" s="187" t="s">
        <v>1089</v>
      </c>
      <c r="C367" s="187" t="s">
        <v>694</v>
      </c>
      <c r="D367" s="187" t="s">
        <v>1090</v>
      </c>
      <c r="E367" s="187" t="s">
        <v>134</v>
      </c>
      <c r="F367" s="188"/>
      <c r="G367" s="18"/>
      <c r="H367" s="18"/>
      <c r="I367" s="189"/>
      <c r="J367" s="189">
        <v>60000</v>
      </c>
      <c r="K367" s="189">
        <f t="shared" si="22"/>
        <v>60000</v>
      </c>
      <c r="L367" s="190" t="s">
        <v>551</v>
      </c>
    </row>
    <row r="368" spans="1:12" s="180" customFormat="1" ht="8.65" customHeight="1" x14ac:dyDescent="0.15">
      <c r="A368" s="187" t="s">
        <v>664</v>
      </c>
      <c r="B368" s="187" t="s">
        <v>1089</v>
      </c>
      <c r="C368" s="187" t="s">
        <v>694</v>
      </c>
      <c r="D368" s="187" t="s">
        <v>1091</v>
      </c>
      <c r="E368" s="187" t="s">
        <v>134</v>
      </c>
      <c r="F368" s="188"/>
      <c r="G368" s="18"/>
      <c r="H368" s="18"/>
      <c r="I368" s="189"/>
      <c r="J368" s="189">
        <v>72000</v>
      </c>
      <c r="K368" s="189">
        <f t="shared" si="22"/>
        <v>72000</v>
      </c>
      <c r="L368" s="190" t="s">
        <v>551</v>
      </c>
    </row>
    <row r="369" spans="1:12" s="180" customFormat="1" ht="8.65" customHeight="1" x14ac:dyDescent="0.15">
      <c r="A369" s="187" t="s">
        <v>664</v>
      </c>
      <c r="B369" s="187" t="s">
        <v>1092</v>
      </c>
      <c r="C369" s="187" t="s">
        <v>694</v>
      </c>
      <c r="D369" s="187" t="s">
        <v>1093</v>
      </c>
      <c r="E369" s="187" t="s">
        <v>134</v>
      </c>
      <c r="F369" s="188"/>
      <c r="G369" s="18"/>
      <c r="H369" s="18"/>
      <c r="I369" s="189"/>
      <c r="J369" s="189">
        <v>20400</v>
      </c>
      <c r="K369" s="189">
        <f t="shared" si="22"/>
        <v>20400</v>
      </c>
      <c r="L369" s="190" t="s">
        <v>551</v>
      </c>
    </row>
    <row r="370" spans="1:12" s="180" customFormat="1" ht="8.65" customHeight="1" x14ac:dyDescent="0.15">
      <c r="A370" s="187" t="s">
        <v>664</v>
      </c>
      <c r="B370" s="187" t="s">
        <v>1094</v>
      </c>
      <c r="C370" s="187" t="s">
        <v>694</v>
      </c>
      <c r="D370" s="187" t="s">
        <v>1095</v>
      </c>
      <c r="E370" s="187" t="s">
        <v>134</v>
      </c>
      <c r="F370" s="188"/>
      <c r="G370" s="18"/>
      <c r="H370" s="18"/>
      <c r="I370" s="189"/>
      <c r="J370" s="189">
        <v>97200</v>
      </c>
      <c r="K370" s="189">
        <f t="shared" si="22"/>
        <v>97200</v>
      </c>
      <c r="L370" s="190" t="s">
        <v>551</v>
      </c>
    </row>
    <row r="371" spans="1:12" s="180" customFormat="1" ht="8.65" customHeight="1" x14ac:dyDescent="0.15">
      <c r="A371" s="187" t="s">
        <v>664</v>
      </c>
      <c r="B371" s="187" t="s">
        <v>1096</v>
      </c>
      <c r="C371" s="187" t="s">
        <v>694</v>
      </c>
      <c r="D371" s="187" t="s">
        <v>1097</v>
      </c>
      <c r="E371" s="187" t="s">
        <v>134</v>
      </c>
      <c r="F371" s="188"/>
      <c r="G371" s="18"/>
      <c r="H371" s="18"/>
      <c r="I371" s="189"/>
      <c r="J371" s="189">
        <v>108000</v>
      </c>
      <c r="K371" s="189">
        <f t="shared" si="22"/>
        <v>108000</v>
      </c>
      <c r="L371" s="190" t="s">
        <v>551</v>
      </c>
    </row>
    <row r="372" spans="1:12" s="180" customFormat="1" ht="8.65" customHeight="1" x14ac:dyDescent="0.15">
      <c r="A372" s="187" t="s">
        <v>664</v>
      </c>
      <c r="B372" s="187" t="s">
        <v>1098</v>
      </c>
      <c r="C372" s="187" t="s">
        <v>694</v>
      </c>
      <c r="D372" s="187" t="s">
        <v>1099</v>
      </c>
      <c r="E372" s="187" t="s">
        <v>134</v>
      </c>
      <c r="F372" s="188"/>
      <c r="G372" s="18"/>
      <c r="H372" s="18"/>
      <c r="I372" s="189"/>
      <c r="J372" s="189">
        <v>50000</v>
      </c>
      <c r="K372" s="189">
        <f t="shared" si="22"/>
        <v>50000</v>
      </c>
      <c r="L372" s="190" t="s">
        <v>551</v>
      </c>
    </row>
    <row r="373" spans="1:12" s="180" customFormat="1" ht="8.65" customHeight="1" x14ac:dyDescent="0.15">
      <c r="A373" s="187" t="s">
        <v>664</v>
      </c>
      <c r="B373" s="187" t="s">
        <v>1098</v>
      </c>
      <c r="C373" s="187" t="s">
        <v>694</v>
      </c>
      <c r="D373" s="187" t="s">
        <v>1099</v>
      </c>
      <c r="E373" s="187" t="s">
        <v>134</v>
      </c>
      <c r="F373" s="188"/>
      <c r="G373" s="18"/>
      <c r="H373" s="18"/>
      <c r="I373" s="189"/>
      <c r="J373" s="189">
        <v>90000</v>
      </c>
      <c r="K373" s="189">
        <f t="shared" si="22"/>
        <v>90000</v>
      </c>
      <c r="L373" s="190" t="s">
        <v>551</v>
      </c>
    </row>
    <row r="374" spans="1:12" s="180" customFormat="1" ht="8.65" customHeight="1" x14ac:dyDescent="0.15">
      <c r="A374" s="187" t="s">
        <v>664</v>
      </c>
      <c r="B374" s="187" t="s">
        <v>1100</v>
      </c>
      <c r="C374" s="187" t="s">
        <v>694</v>
      </c>
      <c r="D374" s="187" t="s">
        <v>1101</v>
      </c>
      <c r="E374" s="187" t="s">
        <v>134</v>
      </c>
      <c r="F374" s="188"/>
      <c r="G374" s="18"/>
      <c r="H374" s="18"/>
      <c r="I374" s="189"/>
      <c r="J374" s="189">
        <v>14400</v>
      </c>
      <c r="K374" s="189">
        <f t="shared" ref="K374:K437" si="29">+J374-H374</f>
        <v>14400</v>
      </c>
      <c r="L374" s="190" t="s">
        <v>551</v>
      </c>
    </row>
    <row r="375" spans="1:12" s="180" customFormat="1" ht="8.65" customHeight="1" x14ac:dyDescent="0.15">
      <c r="A375" s="187" t="s">
        <v>664</v>
      </c>
      <c r="B375" s="187" t="s">
        <v>1100</v>
      </c>
      <c r="C375" s="187" t="s">
        <v>694</v>
      </c>
      <c r="D375" s="187" t="s">
        <v>1101</v>
      </c>
      <c r="E375" s="187" t="s">
        <v>134</v>
      </c>
      <c r="F375" s="188"/>
      <c r="G375" s="18"/>
      <c r="H375" s="18"/>
      <c r="I375" s="189"/>
      <c r="J375" s="189">
        <v>28800</v>
      </c>
      <c r="K375" s="189">
        <f t="shared" si="29"/>
        <v>28800</v>
      </c>
      <c r="L375" s="190" t="s">
        <v>551</v>
      </c>
    </row>
    <row r="376" spans="1:12" s="180" customFormat="1" ht="8.65" customHeight="1" x14ac:dyDescent="0.15">
      <c r="A376" s="187" t="s">
        <v>664</v>
      </c>
      <c r="B376" s="187" t="s">
        <v>1102</v>
      </c>
      <c r="C376" s="187" t="s">
        <v>694</v>
      </c>
      <c r="D376" s="187" t="s">
        <v>1103</v>
      </c>
      <c r="E376" s="187" t="s">
        <v>134</v>
      </c>
      <c r="F376" s="188"/>
      <c r="G376" s="18"/>
      <c r="H376" s="18"/>
      <c r="I376" s="189"/>
      <c r="J376" s="189">
        <v>94800</v>
      </c>
      <c r="K376" s="189">
        <f t="shared" si="29"/>
        <v>94800</v>
      </c>
      <c r="L376" s="190" t="s">
        <v>551</v>
      </c>
    </row>
    <row r="377" spans="1:12" s="180" customFormat="1" ht="8.65" customHeight="1" x14ac:dyDescent="0.15">
      <c r="A377" s="187" t="s">
        <v>664</v>
      </c>
      <c r="B377" s="187" t="s">
        <v>781</v>
      </c>
      <c r="C377" s="187" t="s">
        <v>683</v>
      </c>
      <c r="D377" s="187" t="s">
        <v>868</v>
      </c>
      <c r="E377" s="187" t="s">
        <v>134</v>
      </c>
      <c r="F377" s="188"/>
      <c r="G377" s="18"/>
      <c r="H377" s="18">
        <v>34000</v>
      </c>
      <c r="I377" s="189"/>
      <c r="J377" s="189">
        <f>34000-H$377</f>
        <v>0</v>
      </c>
      <c r="K377" s="189">
        <f>+J377-I$377</f>
        <v>0</v>
      </c>
      <c r="L377" s="190" t="s">
        <v>551</v>
      </c>
    </row>
    <row r="378" spans="1:12" s="180" customFormat="1" ht="8.65" customHeight="1" x14ac:dyDescent="0.15">
      <c r="A378" s="187" t="s">
        <v>664</v>
      </c>
      <c r="B378" s="187" t="s">
        <v>906</v>
      </c>
      <c r="C378" s="187" t="s">
        <v>683</v>
      </c>
      <c r="D378" s="187" t="s">
        <v>1104</v>
      </c>
      <c r="E378" s="187" t="s">
        <v>134</v>
      </c>
      <c r="F378" s="188"/>
      <c r="G378" s="18"/>
      <c r="H378" s="18">
        <v>10000</v>
      </c>
      <c r="I378" s="189"/>
      <c r="J378" s="189">
        <f t="shared" ref="J378:J383" si="30">34000-H$377</f>
        <v>0</v>
      </c>
      <c r="K378" s="189">
        <f t="shared" ref="K378:K383" si="31">+J378-I$377</f>
        <v>0</v>
      </c>
      <c r="L378" s="190" t="s">
        <v>551</v>
      </c>
    </row>
    <row r="379" spans="1:12" s="180" customFormat="1" ht="8.65" customHeight="1" x14ac:dyDescent="0.15">
      <c r="A379" s="187" t="s">
        <v>664</v>
      </c>
      <c r="B379" s="187" t="s">
        <v>842</v>
      </c>
      <c r="C379" s="187" t="s">
        <v>683</v>
      </c>
      <c r="D379" s="187" t="s">
        <v>1105</v>
      </c>
      <c r="E379" s="187" t="s">
        <v>134</v>
      </c>
      <c r="F379" s="188"/>
      <c r="G379" s="18"/>
      <c r="H379" s="18">
        <v>18000</v>
      </c>
      <c r="I379" s="189"/>
      <c r="J379" s="189">
        <v>1</v>
      </c>
      <c r="K379" s="189">
        <f t="shared" si="31"/>
        <v>1</v>
      </c>
      <c r="L379" s="190" t="s">
        <v>551</v>
      </c>
    </row>
    <row r="380" spans="1:12" s="180" customFormat="1" ht="8.65" customHeight="1" x14ac:dyDescent="0.15">
      <c r="A380" s="187" t="s">
        <v>664</v>
      </c>
      <c r="B380" s="187" t="s">
        <v>842</v>
      </c>
      <c r="C380" s="187" t="s">
        <v>683</v>
      </c>
      <c r="D380" s="187" t="s">
        <v>1106</v>
      </c>
      <c r="E380" s="187" t="s">
        <v>134</v>
      </c>
      <c r="F380" s="188"/>
      <c r="G380" s="18"/>
      <c r="H380" s="18">
        <v>45000</v>
      </c>
      <c r="I380" s="189"/>
      <c r="J380" s="189">
        <f t="shared" si="30"/>
        <v>0</v>
      </c>
      <c r="K380" s="189">
        <f t="shared" si="31"/>
        <v>0</v>
      </c>
      <c r="L380" s="190" t="s">
        <v>551</v>
      </c>
    </row>
    <row r="381" spans="1:12" s="180" customFormat="1" ht="8.65" customHeight="1" x14ac:dyDescent="0.15">
      <c r="A381" s="187" t="s">
        <v>664</v>
      </c>
      <c r="B381" s="187" t="s">
        <v>908</v>
      </c>
      <c r="C381" s="187" t="s">
        <v>683</v>
      </c>
      <c r="D381" s="187" t="s">
        <v>1107</v>
      </c>
      <c r="E381" s="187" t="s">
        <v>134</v>
      </c>
      <c r="F381" s="188"/>
      <c r="G381" s="18"/>
      <c r="H381" s="18">
        <v>120000</v>
      </c>
      <c r="I381" s="189"/>
      <c r="J381" s="189">
        <f t="shared" si="30"/>
        <v>0</v>
      </c>
      <c r="K381" s="189">
        <f t="shared" si="31"/>
        <v>0</v>
      </c>
      <c r="L381" s="190" t="s">
        <v>551</v>
      </c>
    </row>
    <row r="382" spans="1:12" s="180" customFormat="1" ht="8.65" customHeight="1" x14ac:dyDescent="0.15">
      <c r="A382" s="187" t="s">
        <v>664</v>
      </c>
      <c r="B382" s="187" t="s">
        <v>1108</v>
      </c>
      <c r="C382" s="187" t="s">
        <v>683</v>
      </c>
      <c r="D382" s="187" t="s">
        <v>1109</v>
      </c>
      <c r="E382" s="187" t="s">
        <v>134</v>
      </c>
      <c r="F382" s="188"/>
      <c r="G382" s="18"/>
      <c r="H382" s="18">
        <v>19500</v>
      </c>
      <c r="I382" s="189"/>
      <c r="J382" s="189">
        <f t="shared" si="30"/>
        <v>0</v>
      </c>
      <c r="K382" s="189">
        <f t="shared" si="31"/>
        <v>0</v>
      </c>
      <c r="L382" s="190" t="s">
        <v>551</v>
      </c>
    </row>
    <row r="383" spans="1:12" s="180" customFormat="1" ht="8.65" customHeight="1" x14ac:dyDescent="0.15">
      <c r="A383" s="187" t="s">
        <v>664</v>
      </c>
      <c r="B383" s="187" t="s">
        <v>740</v>
      </c>
      <c r="C383" s="187" t="s">
        <v>683</v>
      </c>
      <c r="D383" s="187" t="s">
        <v>741</v>
      </c>
      <c r="E383" s="187" t="s">
        <v>134</v>
      </c>
      <c r="F383" s="188"/>
      <c r="G383" s="18"/>
      <c r="H383" s="18">
        <v>10050</v>
      </c>
      <c r="I383" s="189"/>
      <c r="J383" s="189">
        <f t="shared" si="30"/>
        <v>0</v>
      </c>
      <c r="K383" s="189">
        <f t="shared" si="31"/>
        <v>0</v>
      </c>
      <c r="L383" s="190" t="s">
        <v>551</v>
      </c>
    </row>
    <row r="384" spans="1:12" s="206" customFormat="1" ht="8.65" customHeight="1" x14ac:dyDescent="0.15">
      <c r="A384" s="202" t="s">
        <v>664</v>
      </c>
      <c r="B384" s="202" t="s">
        <v>799</v>
      </c>
      <c r="C384" s="202" t="s">
        <v>666</v>
      </c>
      <c r="D384" s="202" t="s">
        <v>800</v>
      </c>
      <c r="E384" s="202" t="s">
        <v>134</v>
      </c>
      <c r="F384" s="203"/>
      <c r="G384" s="204"/>
      <c r="H384" s="204"/>
      <c r="I384" s="205"/>
      <c r="J384" s="205">
        <v>19500</v>
      </c>
      <c r="K384" s="189">
        <f t="shared" si="29"/>
        <v>19500</v>
      </c>
      <c r="L384" s="190" t="s">
        <v>551</v>
      </c>
    </row>
    <row r="385" spans="1:12" s="180" customFormat="1" ht="8.65" customHeight="1" x14ac:dyDescent="0.15">
      <c r="A385" s="187" t="s">
        <v>664</v>
      </c>
      <c r="B385" s="187" t="s">
        <v>960</v>
      </c>
      <c r="C385" s="187" t="s">
        <v>683</v>
      </c>
      <c r="D385" s="187" t="s">
        <v>1110</v>
      </c>
      <c r="E385" s="187" t="s">
        <v>134</v>
      </c>
      <c r="F385" s="188"/>
      <c r="G385" s="18"/>
      <c r="H385" s="18">
        <v>21000</v>
      </c>
      <c r="I385" s="189"/>
      <c r="J385" s="189">
        <f>21000-H$385</f>
        <v>0</v>
      </c>
      <c r="K385" s="189">
        <f>+J38-I$385</f>
        <v>0</v>
      </c>
      <c r="L385" s="190" t="s">
        <v>551</v>
      </c>
    </row>
    <row r="386" spans="1:12" s="180" customFormat="1" ht="8.65" customHeight="1" x14ac:dyDescent="0.15">
      <c r="A386" s="187" t="s">
        <v>664</v>
      </c>
      <c r="B386" s="187" t="s">
        <v>803</v>
      </c>
      <c r="C386" s="187" t="s">
        <v>683</v>
      </c>
      <c r="D386" s="187" t="s">
        <v>869</v>
      </c>
      <c r="E386" s="187" t="s">
        <v>134</v>
      </c>
      <c r="F386" s="188"/>
      <c r="G386" s="18"/>
      <c r="H386" s="18">
        <v>28700</v>
      </c>
      <c r="I386" s="189"/>
      <c r="J386" s="189">
        <f t="shared" ref="J386:J402" si="32">21000-H$385</f>
        <v>0</v>
      </c>
      <c r="K386" s="189">
        <f t="shared" ref="K386:K402" si="33">+J39-I$385</f>
        <v>0</v>
      </c>
      <c r="L386" s="190" t="s">
        <v>551</v>
      </c>
    </row>
    <row r="387" spans="1:12" s="180" customFormat="1" ht="8.65" customHeight="1" x14ac:dyDescent="0.15">
      <c r="A387" s="187" t="s">
        <v>664</v>
      </c>
      <c r="B387" s="187" t="s">
        <v>1111</v>
      </c>
      <c r="C387" s="187" t="s">
        <v>683</v>
      </c>
      <c r="D387" s="187" t="s">
        <v>1112</v>
      </c>
      <c r="E387" s="187" t="s">
        <v>134</v>
      </c>
      <c r="F387" s="188"/>
      <c r="G387" s="18"/>
      <c r="H387" s="18">
        <v>10500</v>
      </c>
      <c r="I387" s="189"/>
      <c r="J387" s="189">
        <f t="shared" si="32"/>
        <v>0</v>
      </c>
      <c r="K387" s="189">
        <f t="shared" si="33"/>
        <v>0</v>
      </c>
      <c r="L387" s="190" t="s">
        <v>551</v>
      </c>
    </row>
    <row r="388" spans="1:12" s="180" customFormat="1" ht="8.65" customHeight="1" x14ac:dyDescent="0.15">
      <c r="A388" s="187" t="s">
        <v>664</v>
      </c>
      <c r="B388" s="187" t="s">
        <v>870</v>
      </c>
      <c r="C388" s="187" t="s">
        <v>683</v>
      </c>
      <c r="D388" s="187" t="s">
        <v>1113</v>
      </c>
      <c r="E388" s="187" t="s">
        <v>134</v>
      </c>
      <c r="F388" s="188"/>
      <c r="G388" s="18"/>
      <c r="H388" s="18">
        <v>11000</v>
      </c>
      <c r="I388" s="189"/>
      <c r="J388" s="189">
        <f t="shared" si="32"/>
        <v>0</v>
      </c>
      <c r="K388" s="189">
        <f t="shared" si="33"/>
        <v>0</v>
      </c>
      <c r="L388" s="190" t="s">
        <v>551</v>
      </c>
    </row>
    <row r="389" spans="1:12" s="180" customFormat="1" ht="8.65" customHeight="1" x14ac:dyDescent="0.15">
      <c r="A389" s="187" t="s">
        <v>664</v>
      </c>
      <c r="B389" s="187" t="s">
        <v>700</v>
      </c>
      <c r="C389" s="187" t="s">
        <v>683</v>
      </c>
      <c r="D389" s="187" t="s">
        <v>701</v>
      </c>
      <c r="E389" s="187" t="s">
        <v>134</v>
      </c>
      <c r="F389" s="188"/>
      <c r="G389" s="18"/>
      <c r="H389" s="18">
        <v>3750</v>
      </c>
      <c r="I389" s="189"/>
      <c r="J389" s="189">
        <f t="shared" si="32"/>
        <v>0</v>
      </c>
      <c r="K389" s="189">
        <f t="shared" si="33"/>
        <v>0</v>
      </c>
      <c r="L389" s="190" t="s">
        <v>551</v>
      </c>
    </row>
    <row r="390" spans="1:12" s="180" customFormat="1" ht="8.65" customHeight="1" x14ac:dyDescent="0.15">
      <c r="A390" s="187" t="s">
        <v>664</v>
      </c>
      <c r="B390" s="187" t="s">
        <v>1114</v>
      </c>
      <c r="C390" s="187" t="s">
        <v>683</v>
      </c>
      <c r="D390" s="187" t="s">
        <v>1115</v>
      </c>
      <c r="E390" s="187" t="s">
        <v>134</v>
      </c>
      <c r="F390" s="188"/>
      <c r="G390" s="18"/>
      <c r="H390" s="18">
        <v>10000</v>
      </c>
      <c r="I390" s="189"/>
      <c r="J390" s="189">
        <f t="shared" si="32"/>
        <v>0</v>
      </c>
      <c r="K390" s="189">
        <f t="shared" si="33"/>
        <v>0</v>
      </c>
      <c r="L390" s="190" t="s">
        <v>551</v>
      </c>
    </row>
    <row r="391" spans="1:12" s="180" customFormat="1" ht="8.65" customHeight="1" x14ac:dyDescent="0.15">
      <c r="A391" s="187" t="s">
        <v>664</v>
      </c>
      <c r="B391" s="187" t="s">
        <v>746</v>
      </c>
      <c r="C391" s="187" t="s">
        <v>683</v>
      </c>
      <c r="D391" s="187" t="s">
        <v>962</v>
      </c>
      <c r="E391" s="187" t="s">
        <v>134</v>
      </c>
      <c r="F391" s="188"/>
      <c r="G391" s="18"/>
      <c r="H391" s="18">
        <v>9000</v>
      </c>
      <c r="I391" s="189"/>
      <c r="J391" s="189">
        <f t="shared" si="32"/>
        <v>0</v>
      </c>
      <c r="K391" s="189">
        <f t="shared" si="33"/>
        <v>0</v>
      </c>
      <c r="L391" s="190" t="s">
        <v>551</v>
      </c>
    </row>
    <row r="392" spans="1:12" s="180" customFormat="1" ht="8.65" customHeight="1" x14ac:dyDescent="0.15">
      <c r="A392" s="187" t="s">
        <v>664</v>
      </c>
      <c r="B392" s="187" t="s">
        <v>805</v>
      </c>
      <c r="C392" s="187" t="s">
        <v>683</v>
      </c>
      <c r="D392" s="187" t="s">
        <v>1116</v>
      </c>
      <c r="E392" s="187" t="s">
        <v>134</v>
      </c>
      <c r="F392" s="188"/>
      <c r="G392" s="18"/>
      <c r="H392" s="18">
        <v>18000</v>
      </c>
      <c r="I392" s="189"/>
      <c r="J392" s="189">
        <f t="shared" si="32"/>
        <v>0</v>
      </c>
      <c r="K392" s="189">
        <f t="shared" si="33"/>
        <v>0</v>
      </c>
      <c r="L392" s="190" t="s">
        <v>551</v>
      </c>
    </row>
    <row r="393" spans="1:12" s="180" customFormat="1" ht="8.65" customHeight="1" x14ac:dyDescent="0.15">
      <c r="A393" s="187" t="s">
        <v>664</v>
      </c>
      <c r="B393" s="187" t="s">
        <v>983</v>
      </c>
      <c r="C393" s="187" t="s">
        <v>683</v>
      </c>
      <c r="D393" s="187" t="s">
        <v>1117</v>
      </c>
      <c r="E393" s="187" t="s">
        <v>134</v>
      </c>
      <c r="F393" s="188"/>
      <c r="G393" s="18"/>
      <c r="H393" s="18">
        <v>18000</v>
      </c>
      <c r="I393" s="189"/>
      <c r="J393" s="189">
        <f t="shared" si="32"/>
        <v>0</v>
      </c>
      <c r="K393" s="189">
        <f>-J393-I393</f>
        <v>0</v>
      </c>
      <c r="L393" s="190" t="s">
        <v>551</v>
      </c>
    </row>
    <row r="394" spans="1:12" s="180" customFormat="1" ht="8.65" customHeight="1" x14ac:dyDescent="0.15">
      <c r="A394" s="187" t="s">
        <v>664</v>
      </c>
      <c r="B394" s="187" t="s">
        <v>983</v>
      </c>
      <c r="C394" s="187" t="s">
        <v>683</v>
      </c>
      <c r="D394" s="187" t="s">
        <v>1118</v>
      </c>
      <c r="E394" s="187" t="s">
        <v>134</v>
      </c>
      <c r="F394" s="188"/>
      <c r="G394" s="18"/>
      <c r="H394" s="18">
        <v>1200</v>
      </c>
      <c r="I394" s="189"/>
      <c r="J394" s="189">
        <f t="shared" si="32"/>
        <v>0</v>
      </c>
      <c r="K394" s="189">
        <f>+J394-I394</f>
        <v>0</v>
      </c>
      <c r="L394" s="190" t="s">
        <v>551</v>
      </c>
    </row>
    <row r="395" spans="1:12" s="180" customFormat="1" ht="8.65" customHeight="1" x14ac:dyDescent="0.15">
      <c r="A395" s="187" t="s">
        <v>664</v>
      </c>
      <c r="B395" s="187" t="s">
        <v>1119</v>
      </c>
      <c r="C395" s="187" t="s">
        <v>683</v>
      </c>
      <c r="D395" s="187" t="s">
        <v>1120</v>
      </c>
      <c r="E395" s="187" t="s">
        <v>134</v>
      </c>
      <c r="F395" s="188"/>
      <c r="G395" s="18"/>
      <c r="H395" s="18">
        <v>1100</v>
      </c>
      <c r="I395" s="189"/>
      <c r="J395" s="189">
        <f t="shared" si="32"/>
        <v>0</v>
      </c>
      <c r="K395" s="189">
        <f>+J395-I395</f>
        <v>0</v>
      </c>
      <c r="L395" s="190" t="s">
        <v>551</v>
      </c>
    </row>
    <row r="396" spans="1:12" s="180" customFormat="1" ht="8.65" customHeight="1" x14ac:dyDescent="0.15">
      <c r="A396" s="187" t="s">
        <v>664</v>
      </c>
      <c r="B396" s="187" t="s">
        <v>807</v>
      </c>
      <c r="C396" s="187" t="s">
        <v>683</v>
      </c>
      <c r="D396" s="187" t="s">
        <v>808</v>
      </c>
      <c r="E396" s="187" t="s">
        <v>134</v>
      </c>
      <c r="F396" s="188"/>
      <c r="G396" s="18"/>
      <c r="H396" s="18">
        <v>3300</v>
      </c>
      <c r="I396" s="189"/>
      <c r="J396" s="189">
        <f t="shared" si="32"/>
        <v>0</v>
      </c>
      <c r="K396" s="189">
        <f t="shared" si="33"/>
        <v>0</v>
      </c>
      <c r="L396" s="190" t="s">
        <v>551</v>
      </c>
    </row>
    <row r="397" spans="1:12" s="180" customFormat="1" ht="8.65" customHeight="1" x14ac:dyDescent="0.15">
      <c r="A397" s="187" t="s">
        <v>664</v>
      </c>
      <c r="B397" s="187" t="s">
        <v>985</v>
      </c>
      <c r="C397" s="187" t="s">
        <v>683</v>
      </c>
      <c r="D397" s="187" t="s">
        <v>1121</v>
      </c>
      <c r="E397" s="187" t="s">
        <v>134</v>
      </c>
      <c r="F397" s="188"/>
      <c r="G397" s="18"/>
      <c r="H397" s="18">
        <v>18000</v>
      </c>
      <c r="I397" s="189"/>
      <c r="J397" s="189">
        <f t="shared" si="32"/>
        <v>0</v>
      </c>
      <c r="K397" s="189">
        <f t="shared" si="33"/>
        <v>0</v>
      </c>
      <c r="L397" s="190" t="s">
        <v>551</v>
      </c>
    </row>
    <row r="398" spans="1:12" s="180" customFormat="1" ht="8.65" customHeight="1" x14ac:dyDescent="0.15">
      <c r="A398" s="187" t="s">
        <v>664</v>
      </c>
      <c r="B398" s="187" t="s">
        <v>985</v>
      </c>
      <c r="C398" s="187" t="s">
        <v>683</v>
      </c>
      <c r="D398" s="187" t="s">
        <v>986</v>
      </c>
      <c r="E398" s="187" t="s">
        <v>134</v>
      </c>
      <c r="F398" s="188"/>
      <c r="G398" s="18"/>
      <c r="H398" s="18">
        <v>1200</v>
      </c>
      <c r="I398" s="189"/>
      <c r="J398" s="189">
        <f t="shared" si="32"/>
        <v>0</v>
      </c>
      <c r="K398" s="189">
        <f t="shared" si="33"/>
        <v>0</v>
      </c>
      <c r="L398" s="190" t="s">
        <v>551</v>
      </c>
    </row>
    <row r="399" spans="1:12" s="180" customFormat="1" ht="8.65" customHeight="1" x14ac:dyDescent="0.15">
      <c r="A399" s="187" t="s">
        <v>664</v>
      </c>
      <c r="B399" s="187" t="s">
        <v>987</v>
      </c>
      <c r="C399" s="187" t="s">
        <v>683</v>
      </c>
      <c r="D399" s="187" t="s">
        <v>988</v>
      </c>
      <c r="E399" s="187" t="s">
        <v>134</v>
      </c>
      <c r="F399" s="188"/>
      <c r="G399" s="18"/>
      <c r="H399" s="18">
        <v>3300</v>
      </c>
      <c r="I399" s="189"/>
      <c r="J399" s="189">
        <f t="shared" si="32"/>
        <v>0</v>
      </c>
      <c r="K399" s="189">
        <f t="shared" si="33"/>
        <v>0</v>
      </c>
      <c r="L399" s="190" t="s">
        <v>551</v>
      </c>
    </row>
    <row r="400" spans="1:12" s="180" customFormat="1" ht="8.65" customHeight="1" x14ac:dyDescent="0.15">
      <c r="A400" s="187" t="s">
        <v>664</v>
      </c>
      <c r="B400" s="187" t="s">
        <v>991</v>
      </c>
      <c r="C400" s="187" t="s">
        <v>683</v>
      </c>
      <c r="D400" s="187" t="s">
        <v>1122</v>
      </c>
      <c r="E400" s="187" t="s">
        <v>134</v>
      </c>
      <c r="F400" s="188"/>
      <c r="G400" s="18"/>
      <c r="H400" s="18">
        <v>18000</v>
      </c>
      <c r="I400" s="189"/>
      <c r="J400" s="189">
        <f t="shared" si="32"/>
        <v>0</v>
      </c>
      <c r="K400" s="189">
        <f t="shared" si="33"/>
        <v>0</v>
      </c>
      <c r="L400" s="190" t="s">
        <v>551</v>
      </c>
    </row>
    <row r="401" spans="1:12" s="180" customFormat="1" ht="8.65" customHeight="1" x14ac:dyDescent="0.15">
      <c r="A401" s="187" t="s">
        <v>664</v>
      </c>
      <c r="B401" s="187" t="s">
        <v>991</v>
      </c>
      <c r="C401" s="187" t="s">
        <v>683</v>
      </c>
      <c r="D401" s="187" t="s">
        <v>992</v>
      </c>
      <c r="E401" s="187" t="s">
        <v>134</v>
      </c>
      <c r="F401" s="188"/>
      <c r="G401" s="18"/>
      <c r="H401" s="18">
        <v>46000</v>
      </c>
      <c r="I401" s="189"/>
      <c r="J401" s="189">
        <f t="shared" si="32"/>
        <v>0</v>
      </c>
      <c r="K401" s="189">
        <f t="shared" si="33"/>
        <v>0</v>
      </c>
      <c r="L401" s="190" t="s">
        <v>551</v>
      </c>
    </row>
    <row r="402" spans="1:12" s="180" customFormat="1" ht="8.65" customHeight="1" x14ac:dyDescent="0.15">
      <c r="A402" s="187" t="s">
        <v>664</v>
      </c>
      <c r="B402" s="187" t="s">
        <v>854</v>
      </c>
      <c r="C402" s="187" t="s">
        <v>683</v>
      </c>
      <c r="D402" s="187" t="s">
        <v>855</v>
      </c>
      <c r="E402" s="187" t="s">
        <v>134</v>
      </c>
      <c r="F402" s="188"/>
      <c r="G402" s="18"/>
      <c r="H402" s="18">
        <v>10000</v>
      </c>
      <c r="I402" s="189"/>
      <c r="J402" s="189">
        <f t="shared" si="32"/>
        <v>0</v>
      </c>
      <c r="K402" s="189">
        <f t="shared" si="33"/>
        <v>0</v>
      </c>
      <c r="L402" s="190" t="s">
        <v>551</v>
      </c>
    </row>
    <row r="403" spans="1:12" s="180" customFormat="1" ht="8.65" customHeight="1" x14ac:dyDescent="0.15">
      <c r="A403" s="187" t="s">
        <v>664</v>
      </c>
      <c r="B403" s="187" t="s">
        <v>748</v>
      </c>
      <c r="C403" s="187" t="s">
        <v>683</v>
      </c>
      <c r="D403" s="187" t="s">
        <v>749</v>
      </c>
      <c r="E403" s="187" t="s">
        <v>134</v>
      </c>
      <c r="F403" s="188"/>
      <c r="G403" s="18"/>
      <c r="H403" s="18">
        <v>21000</v>
      </c>
      <c r="I403" s="189"/>
      <c r="J403" s="189">
        <f>21000-H403</f>
        <v>0</v>
      </c>
      <c r="K403" s="189">
        <f>+J403-I403</f>
        <v>0</v>
      </c>
      <c r="L403" s="190" t="s">
        <v>551</v>
      </c>
    </row>
    <row r="404" spans="1:12" s="206" customFormat="1" ht="8.65" customHeight="1" x14ac:dyDescent="0.15">
      <c r="A404" s="202" t="s">
        <v>664</v>
      </c>
      <c r="B404" s="202" t="s">
        <v>811</v>
      </c>
      <c r="C404" s="202" t="s">
        <v>769</v>
      </c>
      <c r="D404" s="202" t="s">
        <v>1123</v>
      </c>
      <c r="E404" s="202" t="s">
        <v>134</v>
      </c>
      <c r="F404" s="203"/>
      <c r="G404" s="204"/>
      <c r="H404" s="204"/>
      <c r="I404" s="205"/>
      <c r="J404" s="205">
        <v>7800</v>
      </c>
      <c r="K404" s="205">
        <f t="shared" si="29"/>
        <v>7800</v>
      </c>
      <c r="L404" s="190" t="s">
        <v>551</v>
      </c>
    </row>
    <row r="405" spans="1:12" s="180" customFormat="1" ht="8.65" customHeight="1" x14ac:dyDescent="0.15">
      <c r="A405" s="187" t="s">
        <v>664</v>
      </c>
      <c r="B405" s="187" t="s">
        <v>817</v>
      </c>
      <c r="C405" s="187" t="s">
        <v>683</v>
      </c>
      <c r="D405" s="187" t="s">
        <v>1124</v>
      </c>
      <c r="E405" s="187" t="s">
        <v>134</v>
      </c>
      <c r="F405" s="188"/>
      <c r="G405" s="18"/>
      <c r="H405" s="18">
        <v>58800</v>
      </c>
      <c r="I405" s="189"/>
      <c r="J405" s="189">
        <f>58800-H405</f>
        <v>0</v>
      </c>
      <c r="K405" s="189">
        <f>+J405-I405</f>
        <v>0</v>
      </c>
      <c r="L405" s="190" t="s">
        <v>551</v>
      </c>
    </row>
    <row r="406" spans="1:12" s="180" customFormat="1" ht="8.65" customHeight="1" x14ac:dyDescent="0.15">
      <c r="A406" s="187" t="s">
        <v>664</v>
      </c>
      <c r="B406" s="187" t="s">
        <v>1125</v>
      </c>
      <c r="C406" s="187" t="s">
        <v>683</v>
      </c>
      <c r="D406" s="187" t="s">
        <v>1126</v>
      </c>
      <c r="E406" s="187" t="s">
        <v>134</v>
      </c>
      <c r="F406" s="188"/>
      <c r="G406" s="18"/>
      <c r="H406" s="18">
        <v>18000</v>
      </c>
      <c r="I406" s="189"/>
      <c r="J406" s="189">
        <f>18000-H406</f>
        <v>0</v>
      </c>
      <c r="K406" s="189">
        <f>+J406-I406</f>
        <v>0</v>
      </c>
      <c r="L406" s="190" t="s">
        <v>551</v>
      </c>
    </row>
    <row r="407" spans="1:12" s="180" customFormat="1" ht="8.65" customHeight="1" x14ac:dyDescent="0.15">
      <c r="A407" s="187" t="s">
        <v>664</v>
      </c>
      <c r="B407" s="187" t="s">
        <v>1127</v>
      </c>
      <c r="C407" s="187" t="s">
        <v>666</v>
      </c>
      <c r="D407" s="187" t="s">
        <v>1128</v>
      </c>
      <c r="E407" s="187" t="s">
        <v>134</v>
      </c>
      <c r="F407" s="188"/>
      <c r="G407" s="18"/>
      <c r="H407" s="18"/>
      <c r="I407" s="189"/>
      <c r="J407" s="189">
        <v>35000</v>
      </c>
      <c r="K407" s="189">
        <f t="shared" si="29"/>
        <v>35000</v>
      </c>
      <c r="L407" s="190" t="s">
        <v>551</v>
      </c>
    </row>
    <row r="408" spans="1:12" s="180" customFormat="1" ht="8.65" customHeight="1" x14ac:dyDescent="0.15">
      <c r="A408" s="187" t="s">
        <v>664</v>
      </c>
      <c r="B408" s="187" t="s">
        <v>993</v>
      </c>
      <c r="C408" s="187" t="s">
        <v>666</v>
      </c>
      <c r="D408" s="187" t="s">
        <v>1129</v>
      </c>
      <c r="E408" s="187" t="s">
        <v>134</v>
      </c>
      <c r="F408" s="188"/>
      <c r="G408" s="18"/>
      <c r="H408" s="18"/>
      <c r="I408" s="189"/>
      <c r="J408" s="189">
        <v>89880</v>
      </c>
      <c r="K408" s="189">
        <f t="shared" si="29"/>
        <v>89880</v>
      </c>
      <c r="L408" s="190" t="s">
        <v>551</v>
      </c>
    </row>
    <row r="409" spans="1:12" s="180" customFormat="1" ht="8.65" customHeight="1" x14ac:dyDescent="0.15">
      <c r="A409" s="187" t="s">
        <v>664</v>
      </c>
      <c r="B409" s="187" t="s">
        <v>1130</v>
      </c>
      <c r="C409" s="187" t="s">
        <v>666</v>
      </c>
      <c r="D409" s="187" t="s">
        <v>1131</v>
      </c>
      <c r="E409" s="187" t="s">
        <v>134</v>
      </c>
      <c r="F409" s="188"/>
      <c r="G409" s="18"/>
      <c r="H409" s="18">
        <v>192000</v>
      </c>
      <c r="I409" s="189"/>
      <c r="J409" s="189">
        <f>192000-H409</f>
        <v>0</v>
      </c>
      <c r="K409" s="189">
        <f>+J409-I409</f>
        <v>0</v>
      </c>
      <c r="L409" s="190" t="s">
        <v>551</v>
      </c>
    </row>
    <row r="410" spans="1:12" s="180" customFormat="1" ht="8.65" customHeight="1" x14ac:dyDescent="0.15">
      <c r="A410" s="187" t="s">
        <v>664</v>
      </c>
      <c r="B410" s="187" t="s">
        <v>1132</v>
      </c>
      <c r="C410" s="187" t="s">
        <v>666</v>
      </c>
      <c r="D410" s="187" t="s">
        <v>1133</v>
      </c>
      <c r="E410" s="187" t="s">
        <v>134</v>
      </c>
      <c r="F410" s="188"/>
      <c r="G410" s="18"/>
      <c r="H410" s="18"/>
      <c r="I410" s="189"/>
      <c r="J410" s="189">
        <v>7000</v>
      </c>
      <c r="K410" s="189">
        <f t="shared" si="29"/>
        <v>7000</v>
      </c>
      <c r="L410" s="190" t="s">
        <v>551</v>
      </c>
    </row>
    <row r="411" spans="1:12" s="180" customFormat="1" ht="8.65" customHeight="1" x14ac:dyDescent="0.15">
      <c r="A411" s="187" t="s">
        <v>664</v>
      </c>
      <c r="B411" s="187" t="s">
        <v>1134</v>
      </c>
      <c r="C411" s="187" t="s">
        <v>666</v>
      </c>
      <c r="D411" s="187" t="s">
        <v>1135</v>
      </c>
      <c r="E411" s="187" t="s">
        <v>134</v>
      </c>
      <c r="F411" s="188"/>
      <c r="G411" s="18"/>
      <c r="H411" s="18">
        <v>255000</v>
      </c>
      <c r="I411" s="189"/>
      <c r="J411" s="189">
        <f>255000-H411</f>
        <v>0</v>
      </c>
      <c r="K411" s="189">
        <f>+J411-I411</f>
        <v>0</v>
      </c>
      <c r="L411" s="190" t="s">
        <v>551</v>
      </c>
    </row>
    <row r="412" spans="1:12" s="180" customFormat="1" ht="8.65" customHeight="1" x14ac:dyDescent="0.15">
      <c r="A412" s="187" t="s">
        <v>664</v>
      </c>
      <c r="B412" s="187" t="s">
        <v>1136</v>
      </c>
      <c r="C412" s="187" t="s">
        <v>666</v>
      </c>
      <c r="D412" s="187" t="s">
        <v>1137</v>
      </c>
      <c r="E412" s="187" t="s">
        <v>134</v>
      </c>
      <c r="F412" s="188"/>
      <c r="G412" s="18"/>
      <c r="H412" s="18">
        <v>57527</v>
      </c>
      <c r="I412" s="189"/>
      <c r="J412" s="189">
        <f>108000-H412</f>
        <v>50473</v>
      </c>
      <c r="K412" s="189">
        <f>+J412-I412</f>
        <v>50473</v>
      </c>
      <c r="L412" s="190" t="s">
        <v>551</v>
      </c>
    </row>
    <row r="413" spans="1:12" s="180" customFormat="1" ht="8.65" customHeight="1" x14ac:dyDescent="0.15">
      <c r="A413" s="187" t="s">
        <v>664</v>
      </c>
      <c r="B413" s="187" t="s">
        <v>702</v>
      </c>
      <c r="C413" s="187" t="s">
        <v>666</v>
      </c>
      <c r="D413" s="187" t="s">
        <v>872</v>
      </c>
      <c r="E413" s="187" t="s">
        <v>134</v>
      </c>
      <c r="F413" s="188"/>
      <c r="G413" s="18"/>
      <c r="H413" s="18"/>
      <c r="I413" s="189"/>
      <c r="J413" s="189">
        <v>35000</v>
      </c>
      <c r="K413" s="189">
        <f t="shared" si="29"/>
        <v>35000</v>
      </c>
      <c r="L413" s="190" t="s">
        <v>551</v>
      </c>
    </row>
    <row r="414" spans="1:12" s="180" customFormat="1" ht="8.65" customHeight="1" x14ac:dyDescent="0.15">
      <c r="A414" s="187" t="s">
        <v>664</v>
      </c>
      <c r="B414" s="187" t="s">
        <v>995</v>
      </c>
      <c r="C414" s="187" t="s">
        <v>666</v>
      </c>
      <c r="D414" s="187" t="s">
        <v>996</v>
      </c>
      <c r="E414" s="187" t="s">
        <v>134</v>
      </c>
      <c r="F414" s="188"/>
      <c r="G414" s="18"/>
      <c r="H414" s="18">
        <v>170000</v>
      </c>
      <c r="I414" s="189"/>
      <c r="J414" s="189">
        <f>170000-H$414</f>
        <v>0</v>
      </c>
      <c r="K414" s="189">
        <f>+J414-I$414</f>
        <v>0</v>
      </c>
      <c r="L414" s="190" t="s">
        <v>551</v>
      </c>
    </row>
    <row r="415" spans="1:12" s="180" customFormat="1" ht="8.65" customHeight="1" x14ac:dyDescent="0.15">
      <c r="A415" s="187" t="s">
        <v>664</v>
      </c>
      <c r="B415" s="187" t="s">
        <v>1002</v>
      </c>
      <c r="C415" s="187" t="s">
        <v>683</v>
      </c>
      <c r="D415" s="187" t="s">
        <v>1003</v>
      </c>
      <c r="E415" s="187" t="s">
        <v>134</v>
      </c>
      <c r="F415" s="188"/>
      <c r="G415" s="18"/>
      <c r="H415" s="18">
        <v>8500</v>
      </c>
      <c r="I415" s="189"/>
      <c r="J415" s="189">
        <f t="shared" ref="J415:J419" si="34">170000-H$414</f>
        <v>0</v>
      </c>
      <c r="K415" s="189">
        <f t="shared" ref="K415:K419" si="35">+J415-I$414</f>
        <v>0</v>
      </c>
      <c r="L415" s="190" t="s">
        <v>551</v>
      </c>
    </row>
    <row r="416" spans="1:12" s="180" customFormat="1" ht="8.65" customHeight="1" x14ac:dyDescent="0.15">
      <c r="A416" s="187" t="s">
        <v>664</v>
      </c>
      <c r="B416" s="187" t="s">
        <v>704</v>
      </c>
      <c r="C416" s="187" t="s">
        <v>683</v>
      </c>
      <c r="D416" s="187" t="s">
        <v>1138</v>
      </c>
      <c r="E416" s="187" t="s">
        <v>134</v>
      </c>
      <c r="F416" s="188"/>
      <c r="G416" s="18"/>
      <c r="H416" s="18">
        <v>15000</v>
      </c>
      <c r="I416" s="189"/>
      <c r="J416" s="189">
        <f t="shared" si="34"/>
        <v>0</v>
      </c>
      <c r="K416" s="189">
        <f t="shared" si="35"/>
        <v>0</v>
      </c>
      <c r="L416" s="190" t="s">
        <v>551</v>
      </c>
    </row>
    <row r="417" spans="1:12" s="180" customFormat="1" ht="8.65" customHeight="1" x14ac:dyDescent="0.15">
      <c r="A417" s="187" t="s">
        <v>664</v>
      </c>
      <c r="B417" s="187" t="s">
        <v>822</v>
      </c>
      <c r="C417" s="187" t="s">
        <v>683</v>
      </c>
      <c r="D417" s="187" t="s">
        <v>823</v>
      </c>
      <c r="E417" s="187" t="s">
        <v>134</v>
      </c>
      <c r="F417" s="188"/>
      <c r="G417" s="18"/>
      <c r="H417" s="18">
        <v>12500</v>
      </c>
      <c r="I417" s="189"/>
      <c r="J417" s="189">
        <f t="shared" si="34"/>
        <v>0</v>
      </c>
      <c r="K417" s="189">
        <f t="shared" si="35"/>
        <v>0</v>
      </c>
      <c r="L417" s="190" t="s">
        <v>551</v>
      </c>
    </row>
    <row r="418" spans="1:12" s="180" customFormat="1" ht="8.65" customHeight="1" x14ac:dyDescent="0.15">
      <c r="A418" s="187" t="s">
        <v>664</v>
      </c>
      <c r="B418" s="187" t="s">
        <v>824</v>
      </c>
      <c r="C418" s="187" t="s">
        <v>683</v>
      </c>
      <c r="D418" s="187" t="s">
        <v>1139</v>
      </c>
      <c r="E418" s="187" t="s">
        <v>134</v>
      </c>
      <c r="F418" s="188"/>
      <c r="G418" s="18"/>
      <c r="H418" s="18">
        <v>12000</v>
      </c>
      <c r="I418" s="189"/>
      <c r="J418" s="189">
        <v>1</v>
      </c>
      <c r="K418" s="189">
        <f t="shared" si="35"/>
        <v>1</v>
      </c>
      <c r="L418" s="190" t="s">
        <v>551</v>
      </c>
    </row>
    <row r="419" spans="1:12" s="211" customFormat="1" ht="8.4499999999999993" customHeight="1" x14ac:dyDescent="0.15">
      <c r="A419" s="187" t="s">
        <v>664</v>
      </c>
      <c r="B419" s="187" t="s">
        <v>824</v>
      </c>
      <c r="C419" s="187" t="s">
        <v>683</v>
      </c>
      <c r="D419" s="187" t="s">
        <v>825</v>
      </c>
      <c r="E419" s="187" t="s">
        <v>134</v>
      </c>
      <c r="F419" s="188"/>
      <c r="G419" s="18"/>
      <c r="H419" s="18">
        <v>37500</v>
      </c>
      <c r="I419" s="189"/>
      <c r="J419" s="189">
        <f t="shared" si="34"/>
        <v>0</v>
      </c>
      <c r="K419" s="189">
        <f t="shared" si="35"/>
        <v>0</v>
      </c>
      <c r="L419" s="190" t="s">
        <v>551</v>
      </c>
    </row>
    <row r="420" spans="1:12" s="180" customFormat="1" ht="8.4499999999999993" customHeight="1" x14ac:dyDescent="0.15">
      <c r="A420" s="187" t="s">
        <v>664</v>
      </c>
      <c r="B420" s="187" t="s">
        <v>1140</v>
      </c>
      <c r="C420" s="187" t="s">
        <v>694</v>
      </c>
      <c r="D420" s="187" t="s">
        <v>1141</v>
      </c>
      <c r="E420" s="187" t="s">
        <v>134</v>
      </c>
      <c r="F420" s="188"/>
      <c r="G420" s="18"/>
      <c r="H420" s="18"/>
      <c r="I420" s="189"/>
      <c r="J420" s="189">
        <v>36000</v>
      </c>
      <c r="K420" s="189">
        <f t="shared" si="29"/>
        <v>36000</v>
      </c>
      <c r="L420" s="190" t="s">
        <v>551</v>
      </c>
    </row>
    <row r="421" spans="1:12" s="180" customFormat="1" ht="8.4499999999999993" customHeight="1" x14ac:dyDescent="0.15">
      <c r="A421" s="187" t="s">
        <v>664</v>
      </c>
      <c r="B421" s="187" t="s">
        <v>1142</v>
      </c>
      <c r="C421" s="187" t="s">
        <v>714</v>
      </c>
      <c r="D421" s="187" t="s">
        <v>1143</v>
      </c>
      <c r="E421" s="187" t="s">
        <v>134</v>
      </c>
      <c r="F421" s="188"/>
      <c r="G421" s="18"/>
      <c r="H421" s="18"/>
      <c r="I421" s="189"/>
      <c r="J421" s="189">
        <v>5800</v>
      </c>
      <c r="K421" s="189">
        <f t="shared" si="29"/>
        <v>5800</v>
      </c>
      <c r="L421" s="190" t="s">
        <v>551</v>
      </c>
    </row>
    <row r="422" spans="1:12" s="180" customFormat="1" ht="8.4499999999999993" customHeight="1" x14ac:dyDescent="0.15">
      <c r="A422" s="187" t="s">
        <v>664</v>
      </c>
      <c r="B422" s="187" t="s">
        <v>1144</v>
      </c>
      <c r="C422" s="187" t="s">
        <v>925</v>
      </c>
      <c r="D422" s="187" t="s">
        <v>1145</v>
      </c>
      <c r="E422" s="187" t="s">
        <v>134</v>
      </c>
      <c r="F422" s="188"/>
      <c r="G422" s="18"/>
      <c r="H422" s="18"/>
      <c r="I422" s="189"/>
      <c r="J422" s="189">
        <v>14400</v>
      </c>
      <c r="K422" s="189">
        <f t="shared" si="29"/>
        <v>14400</v>
      </c>
      <c r="L422" s="190" t="s">
        <v>551</v>
      </c>
    </row>
    <row r="423" spans="1:12" s="180" customFormat="1" ht="8.4499999999999993" customHeight="1" x14ac:dyDescent="0.15">
      <c r="A423" s="187" t="s">
        <v>664</v>
      </c>
      <c r="B423" s="187" t="s">
        <v>858</v>
      </c>
      <c r="C423" s="187" t="s">
        <v>683</v>
      </c>
      <c r="D423" s="187" t="s">
        <v>859</v>
      </c>
      <c r="E423" s="187" t="s">
        <v>134</v>
      </c>
      <c r="F423" s="188"/>
      <c r="G423" s="18"/>
      <c r="H423" s="18">
        <v>10050</v>
      </c>
      <c r="I423" s="189"/>
      <c r="J423" s="189">
        <f>10050-H423</f>
        <v>0</v>
      </c>
      <c r="K423" s="189">
        <f>+J423-I423</f>
        <v>0</v>
      </c>
      <c r="L423" s="190" t="s">
        <v>551</v>
      </c>
    </row>
    <row r="424" spans="1:12" s="180" customFormat="1" ht="8.4499999999999993" customHeight="1" x14ac:dyDescent="0.15">
      <c r="A424" s="187" t="s">
        <v>664</v>
      </c>
      <c r="B424" s="187" t="s">
        <v>1146</v>
      </c>
      <c r="C424" s="187" t="s">
        <v>720</v>
      </c>
      <c r="D424" s="187" t="s">
        <v>1147</v>
      </c>
      <c r="E424" s="187" t="s">
        <v>134</v>
      </c>
      <c r="F424" s="188"/>
      <c r="G424" s="18"/>
      <c r="H424" s="18"/>
      <c r="I424" s="189"/>
      <c r="J424" s="189">
        <v>10800</v>
      </c>
      <c r="K424" s="189">
        <f t="shared" si="29"/>
        <v>10800</v>
      </c>
      <c r="L424" s="190" t="s">
        <v>551</v>
      </c>
    </row>
    <row r="425" spans="1:12" s="180" customFormat="1" ht="8.4499999999999993" customHeight="1" x14ac:dyDescent="0.15">
      <c r="A425" s="187" t="s">
        <v>664</v>
      </c>
      <c r="B425" s="187" t="s">
        <v>1148</v>
      </c>
      <c r="C425" s="187" t="s">
        <v>720</v>
      </c>
      <c r="D425" s="187" t="s">
        <v>1149</v>
      </c>
      <c r="E425" s="187" t="s">
        <v>134</v>
      </c>
      <c r="F425" s="188"/>
      <c r="G425" s="18"/>
      <c r="H425" s="18"/>
      <c r="I425" s="189"/>
      <c r="J425" s="189">
        <v>72000</v>
      </c>
      <c r="K425" s="189">
        <f t="shared" si="29"/>
        <v>72000</v>
      </c>
      <c r="L425" s="190" t="s">
        <v>551</v>
      </c>
    </row>
    <row r="426" spans="1:12" s="180" customFormat="1" ht="8.4499999999999993" customHeight="1" x14ac:dyDescent="0.15">
      <c r="A426" s="187" t="s">
        <v>664</v>
      </c>
      <c r="B426" s="187" t="s">
        <v>1150</v>
      </c>
      <c r="C426" s="187" t="s">
        <v>720</v>
      </c>
      <c r="D426" s="187" t="s">
        <v>1151</v>
      </c>
      <c r="E426" s="187" t="s">
        <v>134</v>
      </c>
      <c r="F426" s="188"/>
      <c r="G426" s="18"/>
      <c r="H426" s="18"/>
      <c r="I426" s="189"/>
      <c r="J426" s="189">
        <v>50500</v>
      </c>
      <c r="K426" s="189">
        <f t="shared" si="29"/>
        <v>50500</v>
      </c>
      <c r="L426" s="190" t="s">
        <v>551</v>
      </c>
    </row>
    <row r="427" spans="1:12" s="180" customFormat="1" ht="8.4499999999999993" customHeight="1" x14ac:dyDescent="0.15">
      <c r="A427" s="187" t="s">
        <v>664</v>
      </c>
      <c r="B427" s="187" t="s">
        <v>1152</v>
      </c>
      <c r="C427" s="187" t="s">
        <v>720</v>
      </c>
      <c r="D427" s="187" t="s">
        <v>1153</v>
      </c>
      <c r="E427" s="187" t="s">
        <v>134</v>
      </c>
      <c r="F427" s="188"/>
      <c r="G427" s="18"/>
      <c r="H427" s="18"/>
      <c r="I427" s="189"/>
      <c r="J427" s="189">
        <v>60000</v>
      </c>
      <c r="K427" s="189">
        <f t="shared" si="29"/>
        <v>60000</v>
      </c>
      <c r="L427" s="190" t="s">
        <v>551</v>
      </c>
    </row>
    <row r="428" spans="1:12" s="180" customFormat="1" ht="8.4499999999999993" customHeight="1" x14ac:dyDescent="0.15">
      <c r="A428" s="187" t="s">
        <v>664</v>
      </c>
      <c r="B428" s="187" t="s">
        <v>1154</v>
      </c>
      <c r="C428" s="187" t="s">
        <v>720</v>
      </c>
      <c r="D428" s="187" t="s">
        <v>1155</v>
      </c>
      <c r="E428" s="187" t="s">
        <v>134</v>
      </c>
      <c r="F428" s="188"/>
      <c r="G428" s="18"/>
      <c r="H428" s="18"/>
      <c r="I428" s="189"/>
      <c r="J428" s="189">
        <v>22000</v>
      </c>
      <c r="K428" s="189">
        <f t="shared" si="29"/>
        <v>22000</v>
      </c>
      <c r="L428" s="190" t="s">
        <v>551</v>
      </c>
    </row>
    <row r="429" spans="1:12" s="180" customFormat="1" ht="8.4499999999999993" customHeight="1" x14ac:dyDescent="0.15">
      <c r="A429" s="187" t="s">
        <v>664</v>
      </c>
      <c r="B429" s="187" t="s">
        <v>1156</v>
      </c>
      <c r="C429" s="187" t="s">
        <v>720</v>
      </c>
      <c r="D429" s="187" t="s">
        <v>1157</v>
      </c>
      <c r="E429" s="187" t="s">
        <v>134</v>
      </c>
      <c r="F429" s="188"/>
      <c r="G429" s="18"/>
      <c r="H429" s="18"/>
      <c r="I429" s="189"/>
      <c r="J429" s="189">
        <v>108000</v>
      </c>
      <c r="K429" s="189">
        <f t="shared" si="29"/>
        <v>108000</v>
      </c>
      <c r="L429" s="190" t="s">
        <v>551</v>
      </c>
    </row>
    <row r="430" spans="1:12" s="180" customFormat="1" ht="8.4499999999999993" customHeight="1" x14ac:dyDescent="0.15">
      <c r="A430" s="187" t="s">
        <v>664</v>
      </c>
      <c r="B430" s="187" t="s">
        <v>1158</v>
      </c>
      <c r="C430" s="187" t="s">
        <v>720</v>
      </c>
      <c r="D430" s="187" t="s">
        <v>1159</v>
      </c>
      <c r="E430" s="187" t="s">
        <v>134</v>
      </c>
      <c r="F430" s="188"/>
      <c r="G430" s="18"/>
      <c r="H430" s="18"/>
      <c r="I430" s="189"/>
      <c r="J430" s="189">
        <v>32400</v>
      </c>
      <c r="K430" s="189">
        <f t="shared" si="29"/>
        <v>32400</v>
      </c>
      <c r="L430" s="190" t="s">
        <v>551</v>
      </c>
    </row>
    <row r="431" spans="1:12" s="180" customFormat="1" ht="8.4499999999999993" customHeight="1" x14ac:dyDescent="0.15">
      <c r="A431" s="187" t="s">
        <v>664</v>
      </c>
      <c r="B431" s="187" t="s">
        <v>1160</v>
      </c>
      <c r="C431" s="187" t="s">
        <v>720</v>
      </c>
      <c r="D431" s="187" t="s">
        <v>1161</v>
      </c>
      <c r="E431" s="187" t="s">
        <v>134</v>
      </c>
      <c r="F431" s="188"/>
      <c r="G431" s="18"/>
      <c r="H431" s="18"/>
      <c r="I431" s="189"/>
      <c r="J431" s="189">
        <v>24000</v>
      </c>
      <c r="K431" s="189">
        <f t="shared" si="29"/>
        <v>24000</v>
      </c>
      <c r="L431" s="190" t="s">
        <v>551</v>
      </c>
    </row>
    <row r="432" spans="1:12" s="180" customFormat="1" ht="8.4499999999999993" customHeight="1" x14ac:dyDescent="0.15">
      <c r="A432" s="187" t="s">
        <v>664</v>
      </c>
      <c r="B432" s="187" t="s">
        <v>1162</v>
      </c>
      <c r="C432" s="187" t="s">
        <v>720</v>
      </c>
      <c r="D432" s="187" t="s">
        <v>1163</v>
      </c>
      <c r="E432" s="187" t="s">
        <v>134</v>
      </c>
      <c r="F432" s="188"/>
      <c r="G432" s="18"/>
      <c r="H432" s="18"/>
      <c r="I432" s="189"/>
      <c r="J432" s="189">
        <v>20400</v>
      </c>
      <c r="K432" s="189">
        <f t="shared" si="29"/>
        <v>20400</v>
      </c>
      <c r="L432" s="190" t="s">
        <v>551</v>
      </c>
    </row>
    <row r="433" spans="1:12" s="180" customFormat="1" ht="8.4499999999999993" customHeight="1" x14ac:dyDescent="0.15">
      <c r="A433" s="187" t="s">
        <v>664</v>
      </c>
      <c r="B433" s="187" t="s">
        <v>1164</v>
      </c>
      <c r="C433" s="187" t="s">
        <v>720</v>
      </c>
      <c r="D433" s="187" t="s">
        <v>1165</v>
      </c>
      <c r="E433" s="187" t="s">
        <v>134</v>
      </c>
      <c r="F433" s="188"/>
      <c r="G433" s="18"/>
      <c r="H433" s="18"/>
      <c r="I433" s="189"/>
      <c r="J433" s="189">
        <v>20400</v>
      </c>
      <c r="K433" s="189">
        <f t="shared" si="29"/>
        <v>20400</v>
      </c>
      <c r="L433" s="190" t="s">
        <v>551</v>
      </c>
    </row>
    <row r="434" spans="1:12" s="180" customFormat="1" ht="8.4499999999999993" customHeight="1" x14ac:dyDescent="0.15">
      <c r="A434" s="187" t="s">
        <v>664</v>
      </c>
      <c r="B434" s="187" t="s">
        <v>1166</v>
      </c>
      <c r="C434" s="187" t="s">
        <v>720</v>
      </c>
      <c r="D434" s="187" t="s">
        <v>1167</v>
      </c>
      <c r="E434" s="187" t="s">
        <v>134</v>
      </c>
      <c r="F434" s="188"/>
      <c r="G434" s="18"/>
      <c r="H434" s="18"/>
      <c r="I434" s="189"/>
      <c r="J434" s="189">
        <v>20400</v>
      </c>
      <c r="K434" s="189">
        <f t="shared" si="29"/>
        <v>20400</v>
      </c>
      <c r="L434" s="190" t="s">
        <v>551</v>
      </c>
    </row>
    <row r="435" spans="1:12" s="180" customFormat="1" ht="8.4499999999999993" customHeight="1" x14ac:dyDescent="0.15">
      <c r="A435" s="187" t="s">
        <v>664</v>
      </c>
      <c r="B435" s="187" t="s">
        <v>1168</v>
      </c>
      <c r="C435" s="187" t="s">
        <v>720</v>
      </c>
      <c r="D435" s="187" t="s">
        <v>1169</v>
      </c>
      <c r="E435" s="187" t="s">
        <v>134</v>
      </c>
      <c r="F435" s="188"/>
      <c r="G435" s="18"/>
      <c r="H435" s="18"/>
      <c r="I435" s="189"/>
      <c r="J435" s="189">
        <v>130000</v>
      </c>
      <c r="K435" s="189">
        <f t="shared" si="29"/>
        <v>130000</v>
      </c>
      <c r="L435" s="190" t="s">
        <v>551</v>
      </c>
    </row>
    <row r="436" spans="1:12" s="180" customFormat="1" ht="8.65" customHeight="1" x14ac:dyDescent="0.15">
      <c r="A436" s="187" t="s">
        <v>664</v>
      </c>
      <c r="B436" s="187" t="s">
        <v>1170</v>
      </c>
      <c r="C436" s="187" t="s">
        <v>720</v>
      </c>
      <c r="D436" s="187" t="s">
        <v>1171</v>
      </c>
      <c r="E436" s="187" t="s">
        <v>134</v>
      </c>
      <c r="F436" s="188"/>
      <c r="G436" s="18"/>
      <c r="H436" s="18"/>
      <c r="I436" s="189"/>
      <c r="J436" s="189">
        <v>110000</v>
      </c>
      <c r="K436" s="189">
        <f t="shared" si="29"/>
        <v>110000</v>
      </c>
      <c r="L436" s="190" t="s">
        <v>551</v>
      </c>
    </row>
    <row r="437" spans="1:12" s="180" customFormat="1" ht="8.65" customHeight="1" x14ac:dyDescent="0.15">
      <c r="A437" s="187" t="s">
        <v>664</v>
      </c>
      <c r="B437" s="187" t="s">
        <v>1172</v>
      </c>
      <c r="C437" s="187" t="s">
        <v>720</v>
      </c>
      <c r="D437" s="187" t="s">
        <v>1173</v>
      </c>
      <c r="E437" s="187" t="s">
        <v>134</v>
      </c>
      <c r="F437" s="188"/>
      <c r="G437" s="18"/>
      <c r="H437" s="18"/>
      <c r="I437" s="189"/>
      <c r="J437" s="189">
        <v>139200</v>
      </c>
      <c r="K437" s="189">
        <f t="shared" si="29"/>
        <v>139200</v>
      </c>
      <c r="L437" s="190" t="s">
        <v>551</v>
      </c>
    </row>
    <row r="438" spans="1:12" s="180" customFormat="1" ht="8.65" customHeight="1" x14ac:dyDescent="0.15">
      <c r="A438" s="187" t="s">
        <v>664</v>
      </c>
      <c r="B438" s="187" t="s">
        <v>1172</v>
      </c>
      <c r="C438" s="187" t="s">
        <v>720</v>
      </c>
      <c r="D438" s="187" t="s">
        <v>1174</v>
      </c>
      <c r="E438" s="187" t="s">
        <v>134</v>
      </c>
      <c r="F438" s="188"/>
      <c r="G438" s="18"/>
      <c r="H438" s="18"/>
      <c r="I438" s="189"/>
      <c r="J438" s="189">
        <v>7500</v>
      </c>
      <c r="K438" s="189">
        <f t="shared" ref="K438:K446" si="36">+J438-H438</f>
        <v>7500</v>
      </c>
      <c r="L438" s="190" t="s">
        <v>551</v>
      </c>
    </row>
    <row r="439" spans="1:12" s="180" customFormat="1" ht="8.65" customHeight="1" x14ac:dyDescent="0.15">
      <c r="A439" s="187" t="s">
        <v>664</v>
      </c>
      <c r="B439" s="187" t="s">
        <v>1175</v>
      </c>
      <c r="C439" s="187" t="s">
        <v>720</v>
      </c>
      <c r="D439" s="187" t="s">
        <v>1176</v>
      </c>
      <c r="E439" s="187" t="s">
        <v>134</v>
      </c>
      <c r="F439" s="188"/>
      <c r="G439" s="18"/>
      <c r="H439" s="18"/>
      <c r="I439" s="189"/>
      <c r="J439" s="189">
        <v>6000</v>
      </c>
      <c r="K439" s="189">
        <f t="shared" si="36"/>
        <v>6000</v>
      </c>
      <c r="L439" s="190" t="s">
        <v>551</v>
      </c>
    </row>
    <row r="440" spans="1:12" s="180" customFormat="1" ht="8.65" customHeight="1" x14ac:dyDescent="0.15">
      <c r="A440" s="187" t="s">
        <v>664</v>
      </c>
      <c r="B440" s="187" t="s">
        <v>1177</v>
      </c>
      <c r="C440" s="187" t="s">
        <v>720</v>
      </c>
      <c r="D440" s="187" t="s">
        <v>1178</v>
      </c>
      <c r="E440" s="187" t="s">
        <v>134</v>
      </c>
      <c r="F440" s="188"/>
      <c r="G440" s="18"/>
      <c r="H440" s="18"/>
      <c r="I440" s="189"/>
      <c r="J440" s="189">
        <v>57600</v>
      </c>
      <c r="K440" s="189">
        <f t="shared" si="36"/>
        <v>57600</v>
      </c>
      <c r="L440" s="190" t="s">
        <v>551</v>
      </c>
    </row>
    <row r="441" spans="1:12" s="180" customFormat="1" ht="8.65" customHeight="1" x14ac:dyDescent="0.15">
      <c r="A441" s="187" t="s">
        <v>664</v>
      </c>
      <c r="B441" s="187" t="s">
        <v>1179</v>
      </c>
      <c r="C441" s="187" t="s">
        <v>720</v>
      </c>
      <c r="D441" s="187" t="s">
        <v>1180</v>
      </c>
      <c r="E441" s="187" t="s">
        <v>134</v>
      </c>
      <c r="F441" s="188"/>
      <c r="G441" s="18"/>
      <c r="H441" s="18">
        <v>58317</v>
      </c>
      <c r="I441" s="189"/>
      <c r="J441" s="189">
        <f>144000-H441</f>
        <v>85683</v>
      </c>
      <c r="K441" s="189">
        <f>+J441-I441</f>
        <v>85683</v>
      </c>
      <c r="L441" s="190" t="s">
        <v>551</v>
      </c>
    </row>
    <row r="442" spans="1:12" s="180" customFormat="1" ht="8.65" customHeight="1" x14ac:dyDescent="0.15">
      <c r="A442" s="187" t="s">
        <v>664</v>
      </c>
      <c r="B442" s="187" t="s">
        <v>1181</v>
      </c>
      <c r="C442" s="187" t="s">
        <v>720</v>
      </c>
      <c r="D442" s="187" t="s">
        <v>1182</v>
      </c>
      <c r="E442" s="187" t="s">
        <v>134</v>
      </c>
      <c r="F442" s="188"/>
      <c r="G442" s="18"/>
      <c r="H442" s="18">
        <v>204000</v>
      </c>
      <c r="I442" s="189"/>
      <c r="J442" s="189">
        <f>204000-H442</f>
        <v>0</v>
      </c>
      <c r="K442" s="189">
        <f>+J442-I442</f>
        <v>0</v>
      </c>
      <c r="L442" s="190" t="s">
        <v>551</v>
      </c>
    </row>
    <row r="443" spans="1:12" s="180" customFormat="1" ht="8.65" customHeight="1" x14ac:dyDescent="0.15">
      <c r="A443" s="187" t="s">
        <v>664</v>
      </c>
      <c r="B443" s="187" t="s">
        <v>1183</v>
      </c>
      <c r="C443" s="187" t="s">
        <v>720</v>
      </c>
      <c r="D443" s="187" t="s">
        <v>1184</v>
      </c>
      <c r="E443" s="187" t="s">
        <v>134</v>
      </c>
      <c r="F443" s="188"/>
      <c r="G443" s="18"/>
      <c r="H443" s="18"/>
      <c r="I443" s="189"/>
      <c r="J443" s="189">
        <v>10500</v>
      </c>
      <c r="K443" s="189">
        <f t="shared" si="36"/>
        <v>10500</v>
      </c>
      <c r="L443" s="190" t="s">
        <v>551</v>
      </c>
    </row>
    <row r="444" spans="1:12" s="180" customFormat="1" ht="8.65" customHeight="1" x14ac:dyDescent="0.15">
      <c r="A444" s="187" t="s">
        <v>664</v>
      </c>
      <c r="B444" s="187" t="s">
        <v>1185</v>
      </c>
      <c r="C444" s="187" t="s">
        <v>720</v>
      </c>
      <c r="D444" s="187" t="s">
        <v>1186</v>
      </c>
      <c r="E444" s="187" t="s">
        <v>134</v>
      </c>
      <c r="F444" s="188"/>
      <c r="G444" s="18"/>
      <c r="H444" s="18"/>
      <c r="I444" s="189"/>
      <c r="J444" s="189">
        <v>13000</v>
      </c>
      <c r="K444" s="189">
        <f t="shared" si="36"/>
        <v>13000</v>
      </c>
      <c r="L444" s="190" t="s">
        <v>551</v>
      </c>
    </row>
    <row r="445" spans="1:12" s="180" customFormat="1" ht="8.65" customHeight="1" x14ac:dyDescent="0.15">
      <c r="A445" s="187" t="s">
        <v>664</v>
      </c>
      <c r="B445" s="187" t="s">
        <v>1187</v>
      </c>
      <c r="C445" s="187" t="s">
        <v>769</v>
      </c>
      <c r="D445" s="187" t="s">
        <v>1188</v>
      </c>
      <c r="E445" s="187" t="s">
        <v>134</v>
      </c>
      <c r="F445" s="188"/>
      <c r="G445" s="18"/>
      <c r="H445" s="18">
        <v>68476</v>
      </c>
      <c r="I445" s="189"/>
      <c r="J445" s="189">
        <f>190000-H445</f>
        <v>121524</v>
      </c>
      <c r="K445" s="189">
        <f>+J445-I445</f>
        <v>121524</v>
      </c>
      <c r="L445" s="190" t="s">
        <v>551</v>
      </c>
    </row>
    <row r="446" spans="1:12" s="180" customFormat="1" ht="8.65" customHeight="1" x14ac:dyDescent="0.15">
      <c r="A446" s="187" t="s">
        <v>664</v>
      </c>
      <c r="B446" s="187" t="s">
        <v>1189</v>
      </c>
      <c r="C446" s="187" t="s">
        <v>720</v>
      </c>
      <c r="D446" s="187" t="s">
        <v>1190</v>
      </c>
      <c r="E446" s="187" t="s">
        <v>134</v>
      </c>
      <c r="F446" s="188"/>
      <c r="G446" s="18"/>
      <c r="H446" s="18"/>
      <c r="I446" s="189"/>
      <c r="J446" s="189">
        <v>50000</v>
      </c>
      <c r="K446" s="189">
        <f t="shared" si="36"/>
        <v>50000</v>
      </c>
      <c r="L446" s="190" t="s">
        <v>551</v>
      </c>
    </row>
    <row r="447" spans="1:12" s="180" customFormat="1" ht="8.65" customHeight="1" x14ac:dyDescent="0.15">
      <c r="A447" s="187" t="s">
        <v>664</v>
      </c>
      <c r="B447" s="187" t="s">
        <v>1191</v>
      </c>
      <c r="C447" s="187" t="s">
        <v>925</v>
      </c>
      <c r="D447" s="187" t="s">
        <v>1192</v>
      </c>
      <c r="E447" s="187" t="s">
        <v>134</v>
      </c>
      <c r="F447" s="188"/>
      <c r="G447" s="18"/>
      <c r="H447" s="18">
        <v>180000</v>
      </c>
      <c r="I447" s="189"/>
      <c r="J447" s="189">
        <f>180000-H447</f>
        <v>0</v>
      </c>
      <c r="K447" s="189">
        <f>+J447-I447</f>
        <v>0</v>
      </c>
      <c r="L447" s="190" t="s">
        <v>551</v>
      </c>
    </row>
    <row r="448" spans="1:12" s="180" customFormat="1" ht="8.65" customHeight="1" x14ac:dyDescent="0.15">
      <c r="A448" s="187" t="s">
        <v>664</v>
      </c>
      <c r="B448" s="187" t="s">
        <v>1193</v>
      </c>
      <c r="C448" s="187" t="s">
        <v>925</v>
      </c>
      <c r="D448" s="187" t="s">
        <v>1194</v>
      </c>
      <c r="E448" s="187" t="s">
        <v>134</v>
      </c>
      <c r="F448" s="188"/>
      <c r="G448" s="18"/>
      <c r="H448" s="18">
        <v>100712</v>
      </c>
      <c r="I448" s="189"/>
      <c r="J448" s="189">
        <f>138000-H448</f>
        <v>37288</v>
      </c>
      <c r="K448" s="189">
        <f>+J448-I448</f>
        <v>37288</v>
      </c>
      <c r="L448" s="190" t="s">
        <v>551</v>
      </c>
    </row>
    <row r="449" spans="1:17" s="180" customFormat="1" ht="8.65" customHeight="1" x14ac:dyDescent="0.15">
      <c r="A449" s="187" t="s">
        <v>664</v>
      </c>
      <c r="B449" s="187" t="s">
        <v>1195</v>
      </c>
      <c r="C449" s="187" t="s">
        <v>925</v>
      </c>
      <c r="D449" s="187" t="s">
        <v>1196</v>
      </c>
      <c r="E449" s="187" t="s">
        <v>134</v>
      </c>
      <c r="F449" s="188"/>
      <c r="G449" s="18"/>
      <c r="H449" s="18">
        <v>138000</v>
      </c>
      <c r="I449" s="189"/>
      <c r="J449" s="189">
        <f>138000-H$449</f>
        <v>0</v>
      </c>
      <c r="K449" s="189">
        <f>+J449-I$449</f>
        <v>0</v>
      </c>
      <c r="L449" s="190" t="s">
        <v>551</v>
      </c>
    </row>
    <row r="450" spans="1:17" s="180" customFormat="1" ht="8.65" customHeight="1" x14ac:dyDescent="0.15">
      <c r="A450" s="187" t="s">
        <v>664</v>
      </c>
      <c r="B450" s="187" t="s">
        <v>1197</v>
      </c>
      <c r="C450" s="187" t="s">
        <v>666</v>
      </c>
      <c r="D450" s="187" t="s">
        <v>1198</v>
      </c>
      <c r="E450" s="187" t="s">
        <v>134</v>
      </c>
      <c r="F450" s="188"/>
      <c r="G450" s="18"/>
      <c r="H450" s="18">
        <v>21000</v>
      </c>
      <c r="I450" s="189"/>
      <c r="J450" s="189">
        <f t="shared" ref="J450:J453" si="37">138000-H$449</f>
        <v>0</v>
      </c>
      <c r="K450" s="189">
        <f t="shared" ref="K450:K453" si="38">+J450-I$449</f>
        <v>0</v>
      </c>
      <c r="L450" s="190" t="s">
        <v>551</v>
      </c>
    </row>
    <row r="451" spans="1:17" s="180" customFormat="1" ht="8.65" customHeight="1" x14ac:dyDescent="0.15">
      <c r="A451" s="187" t="s">
        <v>664</v>
      </c>
      <c r="B451" s="187" t="s">
        <v>1199</v>
      </c>
      <c r="C451" s="187" t="s">
        <v>666</v>
      </c>
      <c r="D451" s="187" t="s">
        <v>1200</v>
      </c>
      <c r="E451" s="187" t="s">
        <v>134</v>
      </c>
      <c r="F451" s="188"/>
      <c r="G451" s="18"/>
      <c r="H451" s="18">
        <v>273360</v>
      </c>
      <c r="I451" s="189"/>
      <c r="J451" s="189">
        <f t="shared" si="37"/>
        <v>0</v>
      </c>
      <c r="K451" s="189">
        <f t="shared" si="38"/>
        <v>0</v>
      </c>
      <c r="L451" s="190" t="s">
        <v>551</v>
      </c>
    </row>
    <row r="452" spans="1:17" s="180" customFormat="1" ht="8.65" customHeight="1" x14ac:dyDescent="0.15">
      <c r="A452" s="187" t="s">
        <v>664</v>
      </c>
      <c r="B452" s="187" t="s">
        <v>830</v>
      </c>
      <c r="C452" s="187" t="s">
        <v>683</v>
      </c>
      <c r="D452" s="187" t="s">
        <v>831</v>
      </c>
      <c r="E452" s="187" t="s">
        <v>134</v>
      </c>
      <c r="F452" s="188"/>
      <c r="G452" s="18"/>
      <c r="H452" s="18">
        <v>9750</v>
      </c>
      <c r="I452" s="189"/>
      <c r="J452" s="189">
        <f t="shared" si="37"/>
        <v>0</v>
      </c>
      <c r="K452" s="189">
        <f t="shared" si="38"/>
        <v>0</v>
      </c>
      <c r="L452" s="190" t="s">
        <v>551</v>
      </c>
    </row>
    <row r="453" spans="1:17" s="180" customFormat="1" ht="8.65" customHeight="1" x14ac:dyDescent="0.15">
      <c r="A453" s="187" t="s">
        <v>664</v>
      </c>
      <c r="B453" s="187" t="s">
        <v>1201</v>
      </c>
      <c r="C453" s="187" t="s">
        <v>676</v>
      </c>
      <c r="D453" s="187" t="s">
        <v>1202</v>
      </c>
      <c r="E453" s="187" t="s">
        <v>134</v>
      </c>
      <c r="F453" s="188"/>
      <c r="G453" s="18"/>
      <c r="H453" s="18">
        <v>20000</v>
      </c>
      <c r="I453" s="189"/>
      <c r="J453" s="189">
        <f t="shared" si="37"/>
        <v>0</v>
      </c>
      <c r="K453" s="189">
        <f t="shared" si="38"/>
        <v>0</v>
      </c>
      <c r="L453" s="190" t="s">
        <v>551</v>
      </c>
    </row>
    <row r="454" spans="1:17" s="180" customFormat="1" ht="8.65" customHeight="1" x14ac:dyDescent="0.15">
      <c r="A454" s="187" t="s">
        <v>664</v>
      </c>
      <c r="B454" s="187" t="s">
        <v>1203</v>
      </c>
      <c r="C454" s="187" t="s">
        <v>666</v>
      </c>
      <c r="D454" s="187" t="s">
        <v>1204</v>
      </c>
      <c r="E454" s="212" t="s">
        <v>1205</v>
      </c>
      <c r="F454" s="188"/>
      <c r="G454" s="18"/>
      <c r="H454" s="18"/>
      <c r="I454" s="189">
        <v>8000</v>
      </c>
      <c r="J454" s="189">
        <v>50000</v>
      </c>
      <c r="K454" s="189">
        <f>+J454-I454</f>
        <v>42000</v>
      </c>
      <c r="L454" s="190" t="s">
        <v>551</v>
      </c>
    </row>
    <row r="455" spans="1:17" s="180" customFormat="1" ht="8.25" x14ac:dyDescent="0.15">
      <c r="A455" s="187" t="s">
        <v>664</v>
      </c>
      <c r="B455" s="187" t="s">
        <v>1206</v>
      </c>
      <c r="C455" s="187" t="s">
        <v>676</v>
      </c>
      <c r="D455" s="187" t="s">
        <v>1207</v>
      </c>
      <c r="E455" s="187" t="s">
        <v>134</v>
      </c>
      <c r="F455" s="188"/>
      <c r="G455" s="18"/>
      <c r="H455" s="18">
        <v>120000</v>
      </c>
      <c r="I455" s="189"/>
      <c r="J455" s="189">
        <f>120000-H$455</f>
        <v>0</v>
      </c>
      <c r="K455" s="189">
        <f>+J455-I455</f>
        <v>0</v>
      </c>
      <c r="L455" s="190" t="s">
        <v>551</v>
      </c>
    </row>
    <row r="456" spans="1:17" s="180" customFormat="1" ht="8.65" customHeight="1" x14ac:dyDescent="0.15">
      <c r="A456" s="187" t="s">
        <v>664</v>
      </c>
      <c r="B456" s="187" t="s">
        <v>1203</v>
      </c>
      <c r="C456" s="187" t="s">
        <v>666</v>
      </c>
      <c r="D456" s="187" t="s">
        <v>1208</v>
      </c>
      <c r="E456" s="187" t="s">
        <v>134</v>
      </c>
      <c r="F456" s="188"/>
      <c r="G456" s="18"/>
      <c r="H456" s="18">
        <v>700000</v>
      </c>
      <c r="I456" s="189"/>
      <c r="J456" s="189">
        <f t="shared" ref="J456:J457" si="39">120000-H$455</f>
        <v>0</v>
      </c>
      <c r="K456" s="189">
        <f t="shared" ref="K456:K457" si="40">+J456-I456</f>
        <v>0</v>
      </c>
      <c r="L456" s="190" t="s">
        <v>551</v>
      </c>
    </row>
    <row r="457" spans="1:17" s="180" customFormat="1" ht="8.65" customHeight="1" x14ac:dyDescent="0.15">
      <c r="A457" s="187" t="s">
        <v>664</v>
      </c>
      <c r="B457" s="187" t="s">
        <v>1203</v>
      </c>
      <c r="C457" s="187" t="s">
        <v>666</v>
      </c>
      <c r="D457" s="187" t="s">
        <v>1208</v>
      </c>
      <c r="E457" s="187" t="s">
        <v>134</v>
      </c>
      <c r="F457" s="188"/>
      <c r="G457" s="18"/>
      <c r="H457" s="18">
        <v>400000</v>
      </c>
      <c r="I457" s="189"/>
      <c r="J457" s="189">
        <f t="shared" si="39"/>
        <v>0</v>
      </c>
      <c r="K457" s="189">
        <f t="shared" si="40"/>
        <v>0</v>
      </c>
      <c r="L457" s="190" t="s">
        <v>551</v>
      </c>
    </row>
    <row r="458" spans="1:17" s="180" customFormat="1" ht="10.15" customHeight="1" x14ac:dyDescent="0.15">
      <c r="A458" s="270" t="s">
        <v>151</v>
      </c>
      <c r="B458" s="270"/>
      <c r="C458" s="270"/>
      <c r="D458" s="270"/>
      <c r="E458" s="270"/>
      <c r="F458" s="270"/>
      <c r="G458" s="191"/>
      <c r="H458" s="191"/>
      <c r="I458" s="192">
        <f>SUM(I304:I457)</f>
        <v>8000</v>
      </c>
      <c r="J458" s="192">
        <f>SUM(J304:J457)</f>
        <v>3845828</v>
      </c>
      <c r="K458" s="192">
        <f>SUM(K304:K457)</f>
        <v>3837828</v>
      </c>
      <c r="L458" s="193"/>
    </row>
    <row r="459" spans="1:17" s="211" customFormat="1" ht="3.6" customHeight="1" x14ac:dyDescent="0.2">
      <c r="A459" s="213"/>
      <c r="B459" s="213"/>
      <c r="C459" s="213"/>
      <c r="D459" s="213"/>
      <c r="E459" s="213"/>
      <c r="F459" s="213"/>
      <c r="G459" s="213"/>
      <c r="H459" s="214"/>
      <c r="I459" s="215"/>
      <c r="J459" s="215"/>
      <c r="K459" s="215"/>
      <c r="L459" s="213"/>
      <c r="M459" s="213"/>
      <c r="N459" s="213"/>
      <c r="O459" s="213"/>
      <c r="P459" s="213"/>
      <c r="Q459" s="213"/>
    </row>
    <row r="460" spans="1:17" s="211" customFormat="1" ht="8.65" customHeight="1" x14ac:dyDescent="0.15">
      <c r="A460" s="187" t="s">
        <v>726</v>
      </c>
      <c r="B460" s="187" t="s">
        <v>1008</v>
      </c>
      <c r="C460" s="187" t="s">
        <v>666</v>
      </c>
      <c r="D460" s="187" t="s">
        <v>1209</v>
      </c>
      <c r="E460" s="187" t="s">
        <v>528</v>
      </c>
      <c r="F460" s="187" t="s">
        <v>529</v>
      </c>
      <c r="G460" s="18"/>
      <c r="H460" s="18">
        <v>420000</v>
      </c>
      <c r="I460" s="189"/>
      <c r="J460" s="189">
        <f>420000-H$460</f>
        <v>0</v>
      </c>
      <c r="K460" s="189">
        <f>+J460-I$460</f>
        <v>0</v>
      </c>
      <c r="L460" s="190" t="s">
        <v>551</v>
      </c>
    </row>
    <row r="461" spans="1:17" s="211" customFormat="1" ht="8.65" customHeight="1" x14ac:dyDescent="0.15">
      <c r="A461" s="187" t="s">
        <v>726</v>
      </c>
      <c r="B461" s="187" t="s">
        <v>665</v>
      </c>
      <c r="C461" s="187" t="s">
        <v>666</v>
      </c>
      <c r="D461" s="187" t="s">
        <v>667</v>
      </c>
      <c r="E461" s="187" t="s">
        <v>528</v>
      </c>
      <c r="F461" s="188"/>
      <c r="G461" s="18"/>
      <c r="H461" s="18">
        <v>66703</v>
      </c>
      <c r="I461" s="189"/>
      <c r="J461" s="189">
        <f t="shared" ref="J461:J463" si="41">420000-H$460</f>
        <v>0</v>
      </c>
      <c r="K461" s="189">
        <f t="shared" ref="K461:K471" si="42">+J461-I$460</f>
        <v>0</v>
      </c>
      <c r="L461" s="190" t="s">
        <v>551</v>
      </c>
    </row>
    <row r="462" spans="1:17" s="211" customFormat="1" ht="8.65" customHeight="1" x14ac:dyDescent="0.15">
      <c r="A462" s="187" t="s">
        <v>726</v>
      </c>
      <c r="B462" s="187" t="s">
        <v>1210</v>
      </c>
      <c r="C462" s="187" t="s">
        <v>769</v>
      </c>
      <c r="D462" s="187" t="s">
        <v>1211</v>
      </c>
      <c r="E462" s="187" t="s">
        <v>528</v>
      </c>
      <c r="F462" s="188"/>
      <c r="G462" s="18"/>
      <c r="H462" s="18">
        <v>1225000</v>
      </c>
      <c r="I462" s="189"/>
      <c r="J462" s="189">
        <f t="shared" si="41"/>
        <v>0</v>
      </c>
      <c r="K462" s="189">
        <f t="shared" si="42"/>
        <v>0</v>
      </c>
      <c r="L462" s="190" t="s">
        <v>551</v>
      </c>
    </row>
    <row r="463" spans="1:17" s="211" customFormat="1" ht="8.65" customHeight="1" x14ac:dyDescent="0.15">
      <c r="A463" s="187" t="s">
        <v>726</v>
      </c>
      <c r="B463" s="187" t="s">
        <v>1212</v>
      </c>
      <c r="C463" s="187" t="s">
        <v>666</v>
      </c>
      <c r="D463" s="187" t="s">
        <v>1213</v>
      </c>
      <c r="E463" s="187" t="s">
        <v>528</v>
      </c>
      <c r="F463" s="188"/>
      <c r="G463" s="18"/>
      <c r="H463" s="18">
        <v>420000</v>
      </c>
      <c r="I463" s="189"/>
      <c r="J463" s="189">
        <f t="shared" si="41"/>
        <v>0</v>
      </c>
      <c r="K463" s="189">
        <f t="shared" si="42"/>
        <v>0</v>
      </c>
      <c r="L463" s="190" t="s">
        <v>551</v>
      </c>
    </row>
    <row r="464" spans="1:17" s="211" customFormat="1" ht="8.65" customHeight="1" x14ac:dyDescent="0.15">
      <c r="A464" s="187" t="s">
        <v>726</v>
      </c>
      <c r="B464" s="187" t="s">
        <v>1214</v>
      </c>
      <c r="C464" s="187" t="s">
        <v>666</v>
      </c>
      <c r="D464" s="187" t="s">
        <v>1215</v>
      </c>
      <c r="E464" s="187" t="s">
        <v>528</v>
      </c>
      <c r="F464" s="188"/>
      <c r="G464" s="18"/>
      <c r="H464" s="18">
        <v>120000</v>
      </c>
      <c r="I464" s="189"/>
      <c r="J464" s="189">
        <f>120000-H464</f>
        <v>0</v>
      </c>
      <c r="K464" s="189">
        <f t="shared" si="42"/>
        <v>0</v>
      </c>
      <c r="L464" s="190" t="s">
        <v>551</v>
      </c>
    </row>
    <row r="465" spans="1:12" s="211" customFormat="1" ht="8.65" customHeight="1" x14ac:dyDescent="0.15">
      <c r="A465" s="187" t="s">
        <v>726</v>
      </c>
      <c r="B465" s="187" t="s">
        <v>1216</v>
      </c>
      <c r="C465" s="187" t="s">
        <v>769</v>
      </c>
      <c r="D465" s="187" t="s">
        <v>1217</v>
      </c>
      <c r="E465" s="187" t="s">
        <v>528</v>
      </c>
      <c r="F465" s="188"/>
      <c r="G465" s="18"/>
      <c r="H465" s="18">
        <v>377680</v>
      </c>
      <c r="I465" s="189"/>
      <c r="J465" s="189">
        <f>700000-H465</f>
        <v>322320</v>
      </c>
      <c r="K465" s="189">
        <f t="shared" si="42"/>
        <v>322320</v>
      </c>
      <c r="L465" s="190" t="s">
        <v>551</v>
      </c>
    </row>
    <row r="466" spans="1:12" s="211" customFormat="1" ht="8.65" customHeight="1" x14ac:dyDescent="0.15">
      <c r="A466" s="187" t="s">
        <v>726</v>
      </c>
      <c r="B466" s="187" t="s">
        <v>1218</v>
      </c>
      <c r="C466" s="187" t="s">
        <v>769</v>
      </c>
      <c r="D466" s="187" t="s">
        <v>1219</v>
      </c>
      <c r="E466" s="187" t="s">
        <v>528</v>
      </c>
      <c r="F466" s="188"/>
      <c r="G466" s="18"/>
      <c r="H466" s="18"/>
      <c r="I466" s="189"/>
      <c r="J466" s="189">
        <v>300000</v>
      </c>
      <c r="K466" s="189">
        <f t="shared" si="42"/>
        <v>300000</v>
      </c>
      <c r="L466" s="190" t="s">
        <v>551</v>
      </c>
    </row>
    <row r="467" spans="1:12" s="211" customFormat="1" ht="8.65" customHeight="1" x14ac:dyDescent="0.15">
      <c r="A467" s="187" t="s">
        <v>726</v>
      </c>
      <c r="B467" s="187" t="s">
        <v>1220</v>
      </c>
      <c r="C467" s="187" t="s">
        <v>769</v>
      </c>
      <c r="D467" s="187" t="s">
        <v>1221</v>
      </c>
      <c r="E467" s="187" t="s">
        <v>528</v>
      </c>
      <c r="F467" s="188"/>
      <c r="G467" s="18"/>
      <c r="H467" s="18"/>
      <c r="I467" s="189"/>
      <c r="J467" s="189">
        <v>300000</v>
      </c>
      <c r="K467" s="189">
        <f t="shared" si="42"/>
        <v>300000</v>
      </c>
      <c r="L467" s="190" t="s">
        <v>551</v>
      </c>
    </row>
    <row r="468" spans="1:12" s="211" customFormat="1" ht="8.65" customHeight="1" x14ac:dyDescent="0.15">
      <c r="A468" s="187" t="s">
        <v>726</v>
      </c>
      <c r="B468" s="187" t="s">
        <v>1222</v>
      </c>
      <c r="C468" s="187" t="s">
        <v>769</v>
      </c>
      <c r="D468" s="187" t="s">
        <v>1223</v>
      </c>
      <c r="E468" s="187" t="s">
        <v>528</v>
      </c>
      <c r="F468" s="188"/>
      <c r="G468" s="18"/>
      <c r="H468" s="18"/>
      <c r="I468" s="189"/>
      <c r="J468" s="189">
        <v>575000</v>
      </c>
      <c r="K468" s="189">
        <f t="shared" si="42"/>
        <v>575000</v>
      </c>
      <c r="L468" s="190" t="s">
        <v>551</v>
      </c>
    </row>
    <row r="469" spans="1:12" s="211" customFormat="1" ht="8.65" customHeight="1" x14ac:dyDescent="0.15">
      <c r="A469" s="187" t="s">
        <v>726</v>
      </c>
      <c r="B469" s="187" t="s">
        <v>1224</v>
      </c>
      <c r="C469" s="187" t="s">
        <v>769</v>
      </c>
      <c r="D469" s="187" t="s">
        <v>1225</v>
      </c>
      <c r="E469" s="187" t="s">
        <v>528</v>
      </c>
      <c r="F469" s="188"/>
      <c r="G469" s="18"/>
      <c r="H469" s="18"/>
      <c r="I469" s="189"/>
      <c r="J469" s="189">
        <v>300000</v>
      </c>
      <c r="K469" s="189">
        <f t="shared" si="42"/>
        <v>300000</v>
      </c>
      <c r="L469" s="190" t="s">
        <v>551</v>
      </c>
    </row>
    <row r="470" spans="1:12" s="211" customFormat="1" ht="8.65" customHeight="1" x14ac:dyDescent="0.15">
      <c r="A470" s="187" t="s">
        <v>726</v>
      </c>
      <c r="B470" s="187" t="s">
        <v>750</v>
      </c>
      <c r="C470" s="187" t="s">
        <v>666</v>
      </c>
      <c r="D470" s="187" t="s">
        <v>898</v>
      </c>
      <c r="E470" s="187" t="s">
        <v>528</v>
      </c>
      <c r="F470" s="188"/>
      <c r="G470" s="18"/>
      <c r="H470" s="18">
        <v>93000</v>
      </c>
      <c r="I470" s="189"/>
      <c r="J470" s="189">
        <f>93000-H470</f>
        <v>0</v>
      </c>
      <c r="K470" s="189">
        <f t="shared" si="42"/>
        <v>0</v>
      </c>
      <c r="L470" s="190" t="s">
        <v>551</v>
      </c>
    </row>
    <row r="471" spans="1:12" s="211" customFormat="1" ht="8.65" customHeight="1" x14ac:dyDescent="0.15">
      <c r="A471" s="187" t="s">
        <v>726</v>
      </c>
      <c r="B471" s="187" t="s">
        <v>754</v>
      </c>
      <c r="C471" s="187" t="s">
        <v>666</v>
      </c>
      <c r="D471" s="187" t="s">
        <v>755</v>
      </c>
      <c r="E471" s="187" t="s">
        <v>528</v>
      </c>
      <c r="F471" s="188"/>
      <c r="G471" s="18"/>
      <c r="H471" s="18">
        <v>50000</v>
      </c>
      <c r="I471" s="189"/>
      <c r="J471" s="189">
        <f>50000-H471</f>
        <v>0</v>
      </c>
      <c r="K471" s="189">
        <f t="shared" si="42"/>
        <v>0</v>
      </c>
      <c r="L471" s="190" t="s">
        <v>551</v>
      </c>
    </row>
    <row r="472" spans="1:12" s="180" customFormat="1" ht="10.15" customHeight="1" x14ac:dyDescent="0.15">
      <c r="A472" s="270" t="s">
        <v>530</v>
      </c>
      <c r="B472" s="270"/>
      <c r="C472" s="270"/>
      <c r="D472" s="270"/>
      <c r="E472" s="270"/>
      <c r="F472" s="270"/>
      <c r="G472" s="191"/>
      <c r="H472" s="191"/>
      <c r="I472" s="192"/>
      <c r="J472" s="192">
        <f>SUM(J460:J471)</f>
        <v>1797320</v>
      </c>
      <c r="K472" s="192">
        <f>SUM(K460:K471)</f>
        <v>1797320</v>
      </c>
      <c r="L472" s="193"/>
    </row>
    <row r="473" spans="1:12" s="180" customFormat="1" ht="10.9" customHeight="1" x14ac:dyDescent="0.2">
      <c r="A473" s="197"/>
      <c r="B473" s="197"/>
      <c r="C473" s="197"/>
      <c r="D473" s="197"/>
      <c r="E473" s="197"/>
      <c r="F473" s="197"/>
      <c r="G473" s="197"/>
      <c r="H473" s="198"/>
      <c r="I473" s="199"/>
      <c r="J473" s="199"/>
      <c r="K473" s="199"/>
      <c r="L473" s="197"/>
    </row>
    <row r="474" spans="1:12" s="180" customFormat="1" ht="10.9" customHeight="1" x14ac:dyDescent="0.2">
      <c r="A474" s="187" t="s">
        <v>1226</v>
      </c>
      <c r="B474" s="187" t="s">
        <v>1227</v>
      </c>
      <c r="C474" s="187">
        <v>29905</v>
      </c>
      <c r="D474" s="187" t="s">
        <v>1228</v>
      </c>
      <c r="E474" s="187" t="s">
        <v>158</v>
      </c>
      <c r="F474" s="187" t="s">
        <v>159</v>
      </c>
      <c r="G474" s="221"/>
      <c r="H474" s="18"/>
      <c r="I474" s="189">
        <f>+J474</f>
        <v>48000</v>
      </c>
      <c r="J474" s="189">
        <v>48000</v>
      </c>
      <c r="K474" s="189">
        <f>+J474-I474</f>
        <v>0</v>
      </c>
      <c r="L474" s="190" t="s">
        <v>551</v>
      </c>
    </row>
    <row r="475" spans="1:12" s="180" customFormat="1" ht="8.65" customHeight="1" x14ac:dyDescent="0.15">
      <c r="A475" s="187" t="s">
        <v>1226</v>
      </c>
      <c r="B475" s="187" t="s">
        <v>665</v>
      </c>
      <c r="C475" s="187" t="s">
        <v>666</v>
      </c>
      <c r="D475" s="187" t="s">
        <v>1229</v>
      </c>
      <c r="E475" s="187" t="s">
        <v>158</v>
      </c>
      <c r="F475" s="188"/>
      <c r="G475" s="18"/>
      <c r="H475" s="18">
        <v>175000</v>
      </c>
      <c r="I475" s="189"/>
      <c r="J475" s="189">
        <f>175000-H475</f>
        <v>0</v>
      </c>
      <c r="K475" s="189">
        <f>+J475-I475</f>
        <v>0</v>
      </c>
      <c r="L475" s="190" t="s">
        <v>551</v>
      </c>
    </row>
    <row r="476" spans="1:12" s="180" customFormat="1" ht="8.65" customHeight="1" x14ac:dyDescent="0.15">
      <c r="A476" s="187" t="s">
        <v>1226</v>
      </c>
      <c r="B476" s="187" t="s">
        <v>728</v>
      </c>
      <c r="C476" s="187" t="s">
        <v>666</v>
      </c>
      <c r="D476" s="187" t="s">
        <v>729</v>
      </c>
      <c r="E476" s="187" t="s">
        <v>158</v>
      </c>
      <c r="F476" s="188"/>
      <c r="G476" s="18"/>
      <c r="H476" s="18"/>
      <c r="I476" s="189"/>
      <c r="J476" s="189">
        <v>524910</v>
      </c>
      <c r="K476" s="189">
        <f>+J476-H476</f>
        <v>524910</v>
      </c>
      <c r="L476" s="190" t="s">
        <v>551</v>
      </c>
    </row>
    <row r="477" spans="1:12" s="180" customFormat="1" ht="8.65" customHeight="1" x14ac:dyDescent="0.15">
      <c r="A477" s="187" t="s">
        <v>1226</v>
      </c>
      <c r="B477" s="187" t="s">
        <v>732</v>
      </c>
      <c r="C477" s="187" t="s">
        <v>666</v>
      </c>
      <c r="D477" s="187" t="s">
        <v>733</v>
      </c>
      <c r="E477" s="187" t="s">
        <v>158</v>
      </c>
      <c r="F477" s="188"/>
      <c r="G477" s="18"/>
      <c r="H477" s="18">
        <v>600000</v>
      </c>
      <c r="I477" s="189"/>
      <c r="J477" s="189">
        <f>600000-H$477</f>
        <v>0</v>
      </c>
      <c r="K477" s="189">
        <f>+J477-I$477</f>
        <v>0</v>
      </c>
      <c r="L477" s="190" t="s">
        <v>551</v>
      </c>
    </row>
    <row r="478" spans="1:12" s="180" customFormat="1" ht="8.65" customHeight="1" x14ac:dyDescent="0.15">
      <c r="A478" s="187" t="s">
        <v>1226</v>
      </c>
      <c r="B478" s="187" t="s">
        <v>678</v>
      </c>
      <c r="C478" s="187" t="s">
        <v>676</v>
      </c>
      <c r="D478" s="187" t="s">
        <v>679</v>
      </c>
      <c r="E478" s="187" t="s">
        <v>158</v>
      </c>
      <c r="F478" s="188"/>
      <c r="G478" s="18"/>
      <c r="H478" s="18">
        <v>28518</v>
      </c>
      <c r="I478" s="189"/>
      <c r="J478" s="189">
        <f t="shared" ref="J478:J481" si="43">600000-H$477</f>
        <v>0</v>
      </c>
      <c r="K478" s="189">
        <f t="shared" ref="K478:K508" si="44">+J478-I$477</f>
        <v>0</v>
      </c>
      <c r="L478" s="190" t="s">
        <v>551</v>
      </c>
    </row>
    <row r="479" spans="1:12" s="180" customFormat="1" ht="8.65" customHeight="1" x14ac:dyDescent="0.15">
      <c r="A479" s="187" t="s">
        <v>1226</v>
      </c>
      <c r="B479" s="187" t="s">
        <v>1230</v>
      </c>
      <c r="C479" s="187" t="s">
        <v>666</v>
      </c>
      <c r="D479" s="187" t="s">
        <v>1231</v>
      </c>
      <c r="E479" s="187" t="s">
        <v>158</v>
      </c>
      <c r="F479" s="188"/>
      <c r="G479" s="18"/>
      <c r="H479" s="18">
        <v>350000</v>
      </c>
      <c r="I479" s="189"/>
      <c r="J479" s="189">
        <f t="shared" si="43"/>
        <v>0</v>
      </c>
      <c r="K479" s="189">
        <f t="shared" si="44"/>
        <v>0</v>
      </c>
      <c r="L479" s="190" t="s">
        <v>551</v>
      </c>
    </row>
    <row r="480" spans="1:12" s="180" customFormat="1" ht="8.65" customHeight="1" x14ac:dyDescent="0.15">
      <c r="A480" s="187" t="s">
        <v>1226</v>
      </c>
      <c r="B480" s="187" t="s">
        <v>1232</v>
      </c>
      <c r="C480" s="187" t="s">
        <v>666</v>
      </c>
      <c r="D480" s="187" t="s">
        <v>1233</v>
      </c>
      <c r="E480" s="187" t="s">
        <v>158</v>
      </c>
      <c r="F480" s="188"/>
      <c r="G480" s="18"/>
      <c r="H480" s="18">
        <v>1000000</v>
      </c>
      <c r="I480" s="189"/>
      <c r="J480" s="189">
        <f t="shared" si="43"/>
        <v>0</v>
      </c>
      <c r="K480" s="189">
        <f t="shared" si="44"/>
        <v>0</v>
      </c>
      <c r="L480" s="190" t="s">
        <v>551</v>
      </c>
    </row>
    <row r="481" spans="1:12" s="180" customFormat="1" ht="8.65" customHeight="1" x14ac:dyDescent="0.15">
      <c r="A481" s="187" t="s">
        <v>1226</v>
      </c>
      <c r="B481" s="187" t="s">
        <v>1234</v>
      </c>
      <c r="C481" s="187" t="s">
        <v>714</v>
      </c>
      <c r="D481" s="187" t="s">
        <v>1235</v>
      </c>
      <c r="E481" s="187" t="s">
        <v>158</v>
      </c>
      <c r="F481" s="188"/>
      <c r="G481" s="18"/>
      <c r="H481" s="18">
        <v>400000</v>
      </c>
      <c r="I481" s="189"/>
      <c r="J481" s="189">
        <f t="shared" si="43"/>
        <v>0</v>
      </c>
      <c r="K481" s="189">
        <f t="shared" si="44"/>
        <v>0</v>
      </c>
      <c r="L481" s="190" t="s">
        <v>551</v>
      </c>
    </row>
    <row r="482" spans="1:12" s="180" customFormat="1" ht="8.65" customHeight="1" x14ac:dyDescent="0.15">
      <c r="A482" s="187" t="s">
        <v>1226</v>
      </c>
      <c r="B482" s="187" t="s">
        <v>1236</v>
      </c>
      <c r="C482" s="187" t="s">
        <v>714</v>
      </c>
      <c r="D482" s="187" t="s">
        <v>1237</v>
      </c>
      <c r="E482" s="187" t="s">
        <v>158</v>
      </c>
      <c r="F482" s="188"/>
      <c r="G482" s="18"/>
      <c r="H482" s="18"/>
      <c r="I482" s="189">
        <f>+J482</f>
        <v>71759.520000000004</v>
      </c>
      <c r="J482" s="189">
        <v>71759.520000000004</v>
      </c>
      <c r="K482" s="189">
        <f>+J482-I482</f>
        <v>0</v>
      </c>
      <c r="L482" s="190" t="s">
        <v>551</v>
      </c>
    </row>
    <row r="483" spans="1:12" s="180" customFormat="1" ht="8.65" customHeight="1" x14ac:dyDescent="0.15">
      <c r="A483" s="187" t="s">
        <v>1226</v>
      </c>
      <c r="B483" s="187" t="s">
        <v>1238</v>
      </c>
      <c r="C483" s="187" t="s">
        <v>714</v>
      </c>
      <c r="D483" s="187" t="s">
        <v>1239</v>
      </c>
      <c r="E483" s="187" t="s">
        <v>158</v>
      </c>
      <c r="F483" s="188"/>
      <c r="G483" s="18"/>
      <c r="H483" s="18"/>
      <c r="I483" s="189">
        <v>38271.74</v>
      </c>
      <c r="J483" s="189">
        <v>38271.74</v>
      </c>
      <c r="K483" s="189">
        <f>+J483-I483</f>
        <v>0</v>
      </c>
      <c r="L483" s="190" t="s">
        <v>551</v>
      </c>
    </row>
    <row r="484" spans="1:12" s="180" customFormat="1" ht="8.65" customHeight="1" x14ac:dyDescent="0.15">
      <c r="A484" s="187" t="s">
        <v>1226</v>
      </c>
      <c r="B484" s="187" t="s">
        <v>1240</v>
      </c>
      <c r="C484" s="187" t="s">
        <v>714</v>
      </c>
      <c r="D484" s="187" t="s">
        <v>1241</v>
      </c>
      <c r="E484" s="187" t="s">
        <v>158</v>
      </c>
      <c r="F484" s="188"/>
      <c r="G484" s="18"/>
      <c r="H484" s="18"/>
      <c r="I484" s="189">
        <f>+J484</f>
        <v>95939.71</v>
      </c>
      <c r="J484" s="189">
        <v>95939.71</v>
      </c>
      <c r="K484" s="189">
        <f>+J484-I484</f>
        <v>0</v>
      </c>
      <c r="L484" s="190" t="s">
        <v>551</v>
      </c>
    </row>
    <row r="485" spans="1:12" s="180" customFormat="1" ht="8.65" customHeight="1" x14ac:dyDescent="0.15">
      <c r="A485" s="187" t="s">
        <v>1226</v>
      </c>
      <c r="B485" s="187" t="s">
        <v>1242</v>
      </c>
      <c r="C485" s="187" t="s">
        <v>714</v>
      </c>
      <c r="D485" s="187" t="s">
        <v>1243</v>
      </c>
      <c r="E485" s="187" t="s">
        <v>158</v>
      </c>
      <c r="F485" s="188"/>
      <c r="G485" s="18"/>
      <c r="H485" s="18">
        <v>300000</v>
      </c>
      <c r="I485" s="189"/>
      <c r="J485" s="189">
        <f>300000-H485</f>
        <v>0</v>
      </c>
      <c r="K485" s="189">
        <f>+J485-I485</f>
        <v>0</v>
      </c>
      <c r="L485" s="190" t="s">
        <v>551</v>
      </c>
    </row>
    <row r="486" spans="1:12" s="180" customFormat="1" ht="8.65" customHeight="1" x14ac:dyDescent="0.15">
      <c r="A486" s="187" t="s">
        <v>1226</v>
      </c>
      <c r="B486" s="187" t="s">
        <v>1244</v>
      </c>
      <c r="C486" s="187" t="s">
        <v>714</v>
      </c>
      <c r="D486" s="187" t="s">
        <v>1245</v>
      </c>
      <c r="E486" s="187" t="s">
        <v>158</v>
      </c>
      <c r="F486" s="188"/>
      <c r="G486" s="18"/>
      <c r="H486" s="18"/>
      <c r="I486" s="189"/>
      <c r="J486" s="189">
        <v>375000</v>
      </c>
      <c r="K486" s="189">
        <f t="shared" si="44"/>
        <v>375000</v>
      </c>
      <c r="L486" s="190" t="s">
        <v>551</v>
      </c>
    </row>
    <row r="487" spans="1:12" s="180" customFormat="1" ht="7.9" customHeight="1" x14ac:dyDescent="0.15">
      <c r="A487" s="187" t="s">
        <v>1226</v>
      </c>
      <c r="B487" s="187" t="s">
        <v>1246</v>
      </c>
      <c r="C487" s="187" t="s">
        <v>714</v>
      </c>
      <c r="D487" s="187" t="s">
        <v>1247</v>
      </c>
      <c r="E487" s="187" t="s">
        <v>158</v>
      </c>
      <c r="F487" s="188"/>
      <c r="G487" s="18"/>
      <c r="H487" s="18"/>
      <c r="I487" s="189"/>
      <c r="J487" s="189">
        <v>375000</v>
      </c>
      <c r="K487" s="189">
        <f t="shared" si="44"/>
        <v>375000</v>
      </c>
      <c r="L487" s="190" t="s">
        <v>551</v>
      </c>
    </row>
    <row r="488" spans="1:12" s="180" customFormat="1" ht="8.65" customHeight="1" x14ac:dyDescent="0.15">
      <c r="A488" s="187" t="s">
        <v>1226</v>
      </c>
      <c r="B488" s="187" t="s">
        <v>1248</v>
      </c>
      <c r="C488" s="187" t="s">
        <v>714</v>
      </c>
      <c r="D488" s="187" t="s">
        <v>1249</v>
      </c>
      <c r="E488" s="187" t="s">
        <v>158</v>
      </c>
      <c r="F488" s="188"/>
      <c r="G488" s="18"/>
      <c r="H488" s="18"/>
      <c r="I488" s="189"/>
      <c r="J488" s="189">
        <v>272766</v>
      </c>
      <c r="K488" s="189">
        <f t="shared" si="44"/>
        <v>272766</v>
      </c>
      <c r="L488" s="190" t="s">
        <v>551</v>
      </c>
    </row>
    <row r="489" spans="1:12" s="180" customFormat="1" ht="8.65" customHeight="1" x14ac:dyDescent="0.15">
      <c r="A489" s="187" t="s">
        <v>1226</v>
      </c>
      <c r="B489" s="187" t="s">
        <v>1250</v>
      </c>
      <c r="C489" s="187" t="s">
        <v>714</v>
      </c>
      <c r="D489" s="187" t="s">
        <v>1251</v>
      </c>
      <c r="E489" s="187" t="s">
        <v>158</v>
      </c>
      <c r="F489" s="188"/>
      <c r="G489" s="18"/>
      <c r="H489" s="18"/>
      <c r="I489" s="189"/>
      <c r="J489" s="189">
        <v>100000</v>
      </c>
      <c r="K489" s="189">
        <f t="shared" si="44"/>
        <v>100000</v>
      </c>
      <c r="L489" s="190" t="s">
        <v>551</v>
      </c>
    </row>
    <row r="490" spans="1:12" s="180" customFormat="1" ht="8.65" customHeight="1" x14ac:dyDescent="0.15">
      <c r="A490" s="187" t="s">
        <v>1226</v>
      </c>
      <c r="B490" s="187" t="s">
        <v>1252</v>
      </c>
      <c r="C490" s="188">
        <v>29905</v>
      </c>
      <c r="D490" s="188" t="s">
        <v>1253</v>
      </c>
      <c r="E490" s="187" t="s">
        <v>158</v>
      </c>
      <c r="F490" s="188"/>
      <c r="G490" s="18"/>
      <c r="H490" s="18"/>
      <c r="I490" s="189"/>
      <c r="J490" s="189">
        <v>90000</v>
      </c>
      <c r="K490" s="189">
        <f t="shared" si="44"/>
        <v>90000</v>
      </c>
      <c r="L490" s="190" t="s">
        <v>551</v>
      </c>
    </row>
    <row r="491" spans="1:12" s="180" customFormat="1" ht="8.65" customHeight="1" x14ac:dyDescent="0.15">
      <c r="A491" s="187" t="s">
        <v>1226</v>
      </c>
      <c r="B491" s="187" t="s">
        <v>1254</v>
      </c>
      <c r="C491" s="187" t="s">
        <v>714</v>
      </c>
      <c r="D491" s="187" t="s">
        <v>1255</v>
      </c>
      <c r="E491" s="187" t="s">
        <v>158</v>
      </c>
      <c r="F491" s="188"/>
      <c r="G491" s="18"/>
      <c r="H491" s="18">
        <v>12061.54</v>
      </c>
      <c r="I491" s="189">
        <v>287938.46000000002</v>
      </c>
      <c r="J491" s="189">
        <f>300000-H491</f>
        <v>287938.46000000002</v>
      </c>
      <c r="K491" s="189">
        <f>+J491-I491</f>
        <v>0</v>
      </c>
      <c r="L491" s="190" t="s">
        <v>551</v>
      </c>
    </row>
    <row r="492" spans="1:12" s="180" customFormat="1" ht="8.65" customHeight="1" x14ac:dyDescent="0.15">
      <c r="A492" s="187" t="s">
        <v>1226</v>
      </c>
      <c r="B492" s="187" t="s">
        <v>1256</v>
      </c>
      <c r="C492" s="187" t="s">
        <v>707</v>
      </c>
      <c r="D492" s="187" t="s">
        <v>1257</v>
      </c>
      <c r="E492" s="187" t="s">
        <v>158</v>
      </c>
      <c r="F492" s="188"/>
      <c r="G492" s="18">
        <v>48382</v>
      </c>
      <c r="H492" s="18"/>
      <c r="I492" s="189"/>
      <c r="J492" s="189">
        <v>48382</v>
      </c>
      <c r="K492" s="189">
        <f>+J492-I492</f>
        <v>48382</v>
      </c>
      <c r="L492" s="190" t="s">
        <v>551</v>
      </c>
    </row>
    <row r="493" spans="1:12" s="180" customFormat="1" ht="8.65" customHeight="1" x14ac:dyDescent="0.15">
      <c r="A493" s="187" t="s">
        <v>1226</v>
      </c>
      <c r="B493" s="187" t="s">
        <v>1258</v>
      </c>
      <c r="C493" s="187" t="s">
        <v>707</v>
      </c>
      <c r="D493" s="187" t="s">
        <v>1259</v>
      </c>
      <c r="E493" s="187" t="s">
        <v>158</v>
      </c>
      <c r="F493" s="188"/>
      <c r="G493" s="18">
        <v>25167</v>
      </c>
      <c r="H493" s="18"/>
      <c r="I493" s="189"/>
      <c r="J493" s="189">
        <f>30000+G493</f>
        <v>55167</v>
      </c>
      <c r="K493" s="189">
        <f t="shared" si="44"/>
        <v>55167</v>
      </c>
      <c r="L493" s="190" t="s">
        <v>551</v>
      </c>
    </row>
    <row r="494" spans="1:12" s="180" customFormat="1" ht="8.65" customHeight="1" x14ac:dyDescent="0.15">
      <c r="A494" s="187" t="s">
        <v>1226</v>
      </c>
      <c r="B494" s="187" t="s">
        <v>1260</v>
      </c>
      <c r="C494" s="187" t="s">
        <v>769</v>
      </c>
      <c r="D494" s="187" t="s">
        <v>1261</v>
      </c>
      <c r="E494" s="187" t="s">
        <v>158</v>
      </c>
      <c r="F494" s="188"/>
      <c r="G494" s="18"/>
      <c r="H494" s="51">
        <v>400000</v>
      </c>
      <c r="I494" s="189"/>
      <c r="J494" s="189">
        <f>400000-H$494</f>
        <v>0</v>
      </c>
      <c r="K494" s="189">
        <f t="shared" si="44"/>
        <v>0</v>
      </c>
      <c r="L494" s="190" t="s">
        <v>551</v>
      </c>
    </row>
    <row r="495" spans="1:12" s="180" customFormat="1" ht="8.65" customHeight="1" x14ac:dyDescent="0.15">
      <c r="A495" s="187" t="s">
        <v>1226</v>
      </c>
      <c r="B495" s="187" t="s">
        <v>1262</v>
      </c>
      <c r="C495" s="187" t="s">
        <v>769</v>
      </c>
      <c r="D495" s="187" t="s">
        <v>1263</v>
      </c>
      <c r="E495" s="187" t="s">
        <v>158</v>
      </c>
      <c r="F495" s="188"/>
      <c r="G495" s="18"/>
      <c r="H495" s="51">
        <v>400000</v>
      </c>
      <c r="I495" s="189"/>
      <c r="J495" s="189">
        <f t="shared" ref="J495:J497" si="45">400000-H$494</f>
        <v>0</v>
      </c>
      <c r="K495" s="189">
        <f t="shared" si="44"/>
        <v>0</v>
      </c>
      <c r="L495" s="190" t="s">
        <v>551</v>
      </c>
    </row>
    <row r="496" spans="1:12" s="180" customFormat="1" ht="8.65" customHeight="1" x14ac:dyDescent="0.15">
      <c r="A496" s="187" t="s">
        <v>1226</v>
      </c>
      <c r="B496" s="187" t="s">
        <v>1264</v>
      </c>
      <c r="C496" s="187" t="s">
        <v>769</v>
      </c>
      <c r="D496" s="187" t="s">
        <v>1265</v>
      </c>
      <c r="E496" s="187" t="s">
        <v>158</v>
      </c>
      <c r="F496" s="188"/>
      <c r="G496" s="18"/>
      <c r="H496" s="18">
        <v>400000</v>
      </c>
      <c r="I496" s="189"/>
      <c r="J496" s="189">
        <f t="shared" si="45"/>
        <v>0</v>
      </c>
      <c r="K496" s="189">
        <f t="shared" si="44"/>
        <v>0</v>
      </c>
      <c r="L496" s="190" t="s">
        <v>551</v>
      </c>
    </row>
    <row r="497" spans="1:13" s="180" customFormat="1" ht="8.65" customHeight="1" x14ac:dyDescent="0.15">
      <c r="A497" s="187" t="s">
        <v>1226</v>
      </c>
      <c r="B497" s="187" t="s">
        <v>1266</v>
      </c>
      <c r="C497" s="187" t="s">
        <v>769</v>
      </c>
      <c r="D497" s="187" t="s">
        <v>1267</v>
      </c>
      <c r="E497" s="187" t="s">
        <v>158</v>
      </c>
      <c r="F497" s="188"/>
      <c r="G497" s="18"/>
      <c r="H497" s="18">
        <v>300000</v>
      </c>
      <c r="I497" s="189"/>
      <c r="J497" s="189">
        <f t="shared" si="45"/>
        <v>0</v>
      </c>
      <c r="K497" s="189">
        <f t="shared" si="44"/>
        <v>0</v>
      </c>
      <c r="L497" s="190" t="s">
        <v>551</v>
      </c>
    </row>
    <row r="498" spans="1:13" s="180" customFormat="1" ht="8.65" customHeight="1" x14ac:dyDescent="0.15">
      <c r="A498" s="187" t="s">
        <v>1226</v>
      </c>
      <c r="B498" s="187" t="s">
        <v>1268</v>
      </c>
      <c r="C498" s="187" t="s">
        <v>1269</v>
      </c>
      <c r="D498" s="187" t="s">
        <v>1270</v>
      </c>
      <c r="E498" s="187" t="s">
        <v>158</v>
      </c>
      <c r="F498" s="188"/>
      <c r="G498" s="18">
        <v>145000</v>
      </c>
      <c r="H498" s="18">
        <v>6127</v>
      </c>
      <c r="I498" s="189">
        <f>+J498</f>
        <v>258873</v>
      </c>
      <c r="J498" s="189">
        <f>120000+G498-H498</f>
        <v>258873</v>
      </c>
      <c r="K498" s="189">
        <f>+J498-I498</f>
        <v>0</v>
      </c>
      <c r="L498" s="190" t="s">
        <v>551</v>
      </c>
    </row>
    <row r="499" spans="1:13" s="180" customFormat="1" ht="8.65" customHeight="1" x14ac:dyDescent="0.15">
      <c r="A499" s="187" t="s">
        <v>1226</v>
      </c>
      <c r="B499" s="187" t="s">
        <v>709</v>
      </c>
      <c r="C499" s="187" t="s">
        <v>707</v>
      </c>
      <c r="D499" s="187" t="s">
        <v>710</v>
      </c>
      <c r="E499" s="187" t="s">
        <v>158</v>
      </c>
      <c r="F499" s="188"/>
      <c r="G499" s="18"/>
      <c r="H499" s="18"/>
      <c r="I499" s="189"/>
      <c r="J499" s="189"/>
      <c r="K499" s="189"/>
      <c r="L499" s="190" t="s">
        <v>551</v>
      </c>
    </row>
    <row r="500" spans="1:13" s="180" customFormat="1" ht="8.65" customHeight="1" x14ac:dyDescent="0.15">
      <c r="A500" s="187" t="s">
        <v>1226</v>
      </c>
      <c r="B500" s="187" t="s">
        <v>713</v>
      </c>
      <c r="C500" s="187" t="s">
        <v>714</v>
      </c>
      <c r="D500" s="187" t="s">
        <v>715</v>
      </c>
      <c r="E500" s="187" t="s">
        <v>158</v>
      </c>
      <c r="F500" s="188"/>
      <c r="G500" s="18"/>
      <c r="H500" s="18"/>
      <c r="I500" s="189"/>
      <c r="J500" s="189">
        <v>90000</v>
      </c>
      <c r="K500" s="189">
        <f t="shared" si="44"/>
        <v>90000</v>
      </c>
      <c r="L500" s="190" t="s">
        <v>551</v>
      </c>
    </row>
    <row r="501" spans="1:13" s="180" customFormat="1" ht="8.65" customHeight="1" x14ac:dyDescent="0.15">
      <c r="A501" s="187" t="s">
        <v>1226</v>
      </c>
      <c r="B501" s="187" t="s">
        <v>1271</v>
      </c>
      <c r="C501" s="187" t="s">
        <v>714</v>
      </c>
      <c r="D501" s="187" t="s">
        <v>1272</v>
      </c>
      <c r="E501" s="187" t="s">
        <v>158</v>
      </c>
      <c r="F501" s="188"/>
      <c r="G501" s="18"/>
      <c r="H501" s="18">
        <v>100000</v>
      </c>
      <c r="I501" s="189"/>
      <c r="J501" s="189">
        <f>100000-H$501</f>
        <v>0</v>
      </c>
      <c r="K501" s="189">
        <f t="shared" si="44"/>
        <v>0</v>
      </c>
      <c r="L501" s="190" t="s">
        <v>551</v>
      </c>
    </row>
    <row r="502" spans="1:13" s="180" customFormat="1" ht="8.65" customHeight="1" x14ac:dyDescent="0.15">
      <c r="A502" s="187" t="s">
        <v>1226</v>
      </c>
      <c r="B502" s="187" t="s">
        <v>1273</v>
      </c>
      <c r="C502" s="187" t="s">
        <v>714</v>
      </c>
      <c r="D502" s="187" t="s">
        <v>1274</v>
      </c>
      <c r="E502" s="187" t="s">
        <v>158</v>
      </c>
      <c r="F502" s="188"/>
      <c r="G502" s="18"/>
      <c r="H502" s="18">
        <v>90000</v>
      </c>
      <c r="I502" s="189"/>
      <c r="J502" s="189">
        <f t="shared" ref="J502:J503" si="46">100000-H$501</f>
        <v>0</v>
      </c>
      <c r="K502" s="189">
        <f t="shared" si="44"/>
        <v>0</v>
      </c>
      <c r="L502" s="190" t="s">
        <v>551</v>
      </c>
    </row>
    <row r="503" spans="1:13" s="180" customFormat="1" ht="8.65" customHeight="1" x14ac:dyDescent="0.15">
      <c r="A503" s="187" t="s">
        <v>1226</v>
      </c>
      <c r="B503" s="187" t="s">
        <v>1142</v>
      </c>
      <c r="C503" s="187" t="s">
        <v>714</v>
      </c>
      <c r="D503" s="187" t="s">
        <v>1143</v>
      </c>
      <c r="E503" s="187" t="s">
        <v>158</v>
      </c>
      <c r="F503" s="188"/>
      <c r="G503" s="18"/>
      <c r="H503" s="18">
        <v>50000</v>
      </c>
      <c r="I503" s="189"/>
      <c r="J503" s="189">
        <f t="shared" si="46"/>
        <v>0</v>
      </c>
      <c r="K503" s="189">
        <f t="shared" si="44"/>
        <v>0</v>
      </c>
      <c r="L503" s="190" t="s">
        <v>551</v>
      </c>
    </row>
    <row r="504" spans="1:13" s="180" customFormat="1" ht="8.65" customHeight="1" x14ac:dyDescent="0.15">
      <c r="A504" s="187" t="s">
        <v>1226</v>
      </c>
      <c r="B504" s="187" t="s">
        <v>1275</v>
      </c>
      <c r="C504" s="187" t="s">
        <v>714</v>
      </c>
      <c r="D504" s="187" t="s">
        <v>1276</v>
      </c>
      <c r="E504" s="187" t="s">
        <v>158</v>
      </c>
      <c r="F504" s="188"/>
      <c r="G504" s="18"/>
      <c r="H504" s="18"/>
      <c r="I504" s="189">
        <v>192710.2</v>
      </c>
      <c r="J504" s="189">
        <v>196564.68</v>
      </c>
      <c r="K504" s="189">
        <f>+J504-I504</f>
        <v>3854.4799999999814</v>
      </c>
      <c r="L504" s="190" t="s">
        <v>551</v>
      </c>
    </row>
    <row r="505" spans="1:13" s="180" customFormat="1" ht="8.65" customHeight="1" x14ac:dyDescent="0.15">
      <c r="A505" s="187" t="s">
        <v>1226</v>
      </c>
      <c r="B505" s="187" t="s">
        <v>1277</v>
      </c>
      <c r="C505" s="187" t="s">
        <v>714</v>
      </c>
      <c r="D505" s="187" t="s">
        <v>1278</v>
      </c>
      <c r="E505" s="187" t="s">
        <v>158</v>
      </c>
      <c r="F505" s="188"/>
      <c r="G505" s="18"/>
      <c r="H505" s="18">
        <v>14784.1</v>
      </c>
      <c r="I505" s="189">
        <f>+J505</f>
        <v>345215.9</v>
      </c>
      <c r="J505" s="189">
        <f>360000-H505</f>
        <v>345215.9</v>
      </c>
      <c r="K505" s="189">
        <f>+J505-I505</f>
        <v>0</v>
      </c>
      <c r="L505" s="190" t="s">
        <v>551</v>
      </c>
    </row>
    <row r="506" spans="1:13" s="180" customFormat="1" ht="8.65" customHeight="1" x14ac:dyDescent="0.15">
      <c r="A506" s="187" t="s">
        <v>1226</v>
      </c>
      <c r="B506" s="187" t="s">
        <v>1279</v>
      </c>
      <c r="C506" s="187" t="s">
        <v>714</v>
      </c>
      <c r="D506" s="187" t="s">
        <v>1280</v>
      </c>
      <c r="E506" s="187" t="s">
        <v>158</v>
      </c>
      <c r="F506" s="188"/>
      <c r="G506" s="18"/>
      <c r="H506" s="18">
        <v>8371.01</v>
      </c>
      <c r="I506" s="189">
        <f>+J506</f>
        <v>186628.99</v>
      </c>
      <c r="J506" s="189">
        <f>195000-H506</f>
        <v>186628.99</v>
      </c>
      <c r="K506" s="189">
        <f>+J506-I506</f>
        <v>0</v>
      </c>
      <c r="L506" s="190" t="s">
        <v>551</v>
      </c>
    </row>
    <row r="507" spans="1:13" s="180" customFormat="1" ht="8.65" customHeight="1" x14ac:dyDescent="0.15">
      <c r="A507" s="187" t="s">
        <v>1226</v>
      </c>
      <c r="B507" s="187" t="s">
        <v>1281</v>
      </c>
      <c r="C507" s="187" t="s">
        <v>714</v>
      </c>
      <c r="D507" s="187" t="s">
        <v>1282</v>
      </c>
      <c r="E507" s="187" t="s">
        <v>158</v>
      </c>
      <c r="F507" s="188"/>
      <c r="G507" s="18"/>
      <c r="H507" s="18">
        <v>750000</v>
      </c>
      <c r="I507" s="189"/>
      <c r="J507" s="189">
        <f>750000-H507</f>
        <v>0</v>
      </c>
      <c r="K507" s="189">
        <f t="shared" si="44"/>
        <v>0</v>
      </c>
      <c r="L507" s="190" t="s">
        <v>551</v>
      </c>
    </row>
    <row r="508" spans="1:13" s="180" customFormat="1" ht="8.65" customHeight="1" x14ac:dyDescent="0.15">
      <c r="A508" s="187" t="s">
        <v>1226</v>
      </c>
      <c r="B508" s="187" t="s">
        <v>724</v>
      </c>
      <c r="C508" s="187" t="s">
        <v>707</v>
      </c>
      <c r="D508" s="187" t="s">
        <v>1283</v>
      </c>
      <c r="E508" s="187" t="s">
        <v>158</v>
      </c>
      <c r="F508" s="188"/>
      <c r="G508" s="18"/>
      <c r="H508" s="18">
        <v>15000</v>
      </c>
      <c r="I508" s="189"/>
      <c r="J508" s="189">
        <f>15000-H508</f>
        <v>0</v>
      </c>
      <c r="K508" s="189">
        <f t="shared" si="44"/>
        <v>0</v>
      </c>
      <c r="L508" s="190" t="s">
        <v>551</v>
      </c>
    </row>
    <row r="509" spans="1:13" s="180" customFormat="1" ht="8.65" customHeight="1" x14ac:dyDescent="0.15">
      <c r="A509" s="187" t="s">
        <v>1226</v>
      </c>
      <c r="B509" s="187" t="s">
        <v>1284</v>
      </c>
      <c r="C509" s="187" t="s">
        <v>714</v>
      </c>
      <c r="D509" s="187" t="s">
        <v>1285</v>
      </c>
      <c r="E509" s="187" t="s">
        <v>158</v>
      </c>
      <c r="F509" s="188"/>
      <c r="G509" s="18"/>
      <c r="H509" s="18">
        <v>319</v>
      </c>
      <c r="I509" s="189">
        <v>399003</v>
      </c>
      <c r="J509" s="189">
        <f>400000-H509</f>
        <v>399681</v>
      </c>
      <c r="K509" s="189">
        <f>+J509-I509</f>
        <v>678</v>
      </c>
      <c r="L509" s="190" t="s">
        <v>551</v>
      </c>
    </row>
    <row r="510" spans="1:13" s="180" customFormat="1" ht="8.65" customHeight="1" x14ac:dyDescent="0.15">
      <c r="A510" s="187" t="s">
        <v>1226</v>
      </c>
      <c r="B510" s="187" t="s">
        <v>1286</v>
      </c>
      <c r="C510" s="187" t="s">
        <v>714</v>
      </c>
      <c r="D510" s="187" t="s">
        <v>1287</v>
      </c>
      <c r="E510" s="187" t="s">
        <v>158</v>
      </c>
      <c r="F510" s="188"/>
      <c r="G510" s="18"/>
      <c r="H510" s="18"/>
      <c r="I510" s="189">
        <v>1103171.54</v>
      </c>
      <c r="J510" s="189">
        <v>1200000</v>
      </c>
      <c r="K510" s="189">
        <f>+J510-I510</f>
        <v>96828.459999999963</v>
      </c>
      <c r="L510" s="190" t="s">
        <v>551</v>
      </c>
    </row>
    <row r="511" spans="1:13" s="180" customFormat="1" ht="10.15" customHeight="1" x14ac:dyDescent="0.15">
      <c r="A511" s="269" t="s">
        <v>168</v>
      </c>
      <c r="B511" s="269"/>
      <c r="C511" s="269"/>
      <c r="D511" s="269"/>
      <c r="E511" s="269"/>
      <c r="F511" s="269"/>
      <c r="G511" s="222"/>
      <c r="H511" s="222"/>
      <c r="I511" s="223">
        <f>SUM(I474:I510)</f>
        <v>3027512.0600000005</v>
      </c>
      <c r="J511" s="223">
        <f>SUM(J474:J510)</f>
        <v>5060098</v>
      </c>
      <c r="K511" s="223">
        <f>SUM(K474:K510)</f>
        <v>2032585.94</v>
      </c>
      <c r="L511" s="224"/>
    </row>
    <row r="512" spans="1:13" s="180" customFormat="1" ht="10.9" customHeight="1" x14ac:dyDescent="0.2">
      <c r="A512" s="197"/>
      <c r="B512" s="197"/>
      <c r="C512" s="197"/>
      <c r="D512" s="197"/>
      <c r="E512" s="197"/>
      <c r="F512" s="197"/>
      <c r="G512" s="197"/>
      <c r="H512" s="198"/>
      <c r="I512" s="199"/>
      <c r="J512" s="199"/>
      <c r="K512" s="199"/>
      <c r="L512" s="197"/>
      <c r="M512" s="197"/>
    </row>
    <row r="513" spans="1:14" s="180" customFormat="1" ht="8.65" customHeight="1" x14ac:dyDescent="0.15">
      <c r="A513" s="184" t="s">
        <v>664</v>
      </c>
      <c r="B513" s="184" t="s">
        <v>1288</v>
      </c>
      <c r="C513" s="184" t="s">
        <v>925</v>
      </c>
      <c r="D513" s="184" t="s">
        <v>1289</v>
      </c>
      <c r="E513" s="184" t="s">
        <v>478</v>
      </c>
      <c r="F513" s="184" t="s">
        <v>443</v>
      </c>
      <c r="G513" s="15"/>
      <c r="H513" s="15">
        <v>90000</v>
      </c>
      <c r="I513" s="182"/>
      <c r="J513" s="182">
        <f>90000-H513</f>
        <v>0</v>
      </c>
      <c r="K513" s="182">
        <f>+J513-I513</f>
        <v>0</v>
      </c>
      <c r="L513" s="183" t="s">
        <v>551</v>
      </c>
    </row>
    <row r="514" spans="1:14" s="180" customFormat="1" ht="8.65" customHeight="1" x14ac:dyDescent="0.15">
      <c r="A514" s="181" t="s">
        <v>664</v>
      </c>
      <c r="B514" s="181" t="s">
        <v>1290</v>
      </c>
      <c r="C514" s="181" t="s">
        <v>925</v>
      </c>
      <c r="D514" s="181" t="s">
        <v>1291</v>
      </c>
      <c r="E514" s="181" t="s">
        <v>478</v>
      </c>
      <c r="F514" s="186"/>
      <c r="G514" s="20"/>
      <c r="H514" s="20">
        <v>60000</v>
      </c>
      <c r="I514" s="182"/>
      <c r="J514" s="182">
        <f>60000-H514</f>
        <v>0</v>
      </c>
      <c r="K514" s="182">
        <f>+J514-I514</f>
        <v>0</v>
      </c>
      <c r="L514" s="183" t="s">
        <v>551</v>
      </c>
    </row>
    <row r="515" spans="1:14" s="180" customFormat="1" ht="10.15" customHeight="1" x14ac:dyDescent="0.15">
      <c r="A515" s="270" t="s">
        <v>442</v>
      </c>
      <c r="B515" s="270"/>
      <c r="C515" s="270"/>
      <c r="D515" s="270"/>
      <c r="E515" s="270"/>
      <c r="F515" s="270"/>
      <c r="G515" s="191"/>
      <c r="H515" s="191"/>
      <c r="I515" s="192">
        <f>+I514+I513</f>
        <v>0</v>
      </c>
      <c r="J515" s="192">
        <f>+J514+J513</f>
        <v>0</v>
      </c>
      <c r="K515" s="192">
        <f>SUM(K513:K514)</f>
        <v>0</v>
      </c>
      <c r="L515" s="193"/>
    </row>
    <row r="516" spans="1:14" s="180" customFormat="1" ht="13.9" customHeight="1" x14ac:dyDescent="0.2">
      <c r="A516" s="197"/>
      <c r="B516" s="197"/>
      <c r="C516" s="197"/>
      <c r="D516" s="197"/>
      <c r="E516" s="197"/>
      <c r="F516" s="197"/>
      <c r="G516" s="197"/>
      <c r="H516" s="198"/>
      <c r="I516" s="199"/>
      <c r="J516" s="199"/>
      <c r="K516" s="199"/>
      <c r="L516" s="197"/>
      <c r="M516" s="197"/>
      <c r="N516" s="197"/>
    </row>
    <row r="517" spans="1:14" s="216" customFormat="1" ht="8.65" customHeight="1" x14ac:dyDescent="0.15">
      <c r="A517" s="187" t="s">
        <v>1226</v>
      </c>
      <c r="B517" s="187" t="s">
        <v>665</v>
      </c>
      <c r="C517" s="187" t="s">
        <v>666</v>
      </c>
      <c r="D517" s="187" t="s">
        <v>1229</v>
      </c>
      <c r="E517" s="187" t="s">
        <v>171</v>
      </c>
      <c r="F517" s="187" t="s">
        <v>172</v>
      </c>
      <c r="G517" s="18">
        <v>53786</v>
      </c>
      <c r="H517" s="18">
        <v>82981</v>
      </c>
      <c r="I517" s="189"/>
      <c r="J517" s="189">
        <f>29195+G517-H517</f>
        <v>0</v>
      </c>
      <c r="K517" s="189">
        <f>+J517-I517</f>
        <v>0</v>
      </c>
      <c r="L517" s="190" t="s">
        <v>551</v>
      </c>
    </row>
    <row r="518" spans="1:14" s="216" customFormat="1" ht="8.65" customHeight="1" x14ac:dyDescent="0.15">
      <c r="A518" s="187" t="s">
        <v>1226</v>
      </c>
      <c r="B518" s="187" t="s">
        <v>732</v>
      </c>
      <c r="C518" s="187" t="s">
        <v>666</v>
      </c>
      <c r="D518" s="187" t="s">
        <v>733</v>
      </c>
      <c r="E518" s="187" t="s">
        <v>171</v>
      </c>
      <c r="F518" s="188"/>
      <c r="G518" s="18"/>
      <c r="H518" s="18">
        <f>650290+332810</f>
        <v>983100</v>
      </c>
      <c r="I518" s="189"/>
      <c r="J518" s="189">
        <f>983100-H518</f>
        <v>0</v>
      </c>
      <c r="K518" s="189">
        <f>+J518-I518</f>
        <v>0</v>
      </c>
      <c r="L518" s="190" t="s">
        <v>551</v>
      </c>
    </row>
    <row r="519" spans="1:14" s="216" customFormat="1" ht="8.65" customHeight="1" x14ac:dyDescent="0.15">
      <c r="A519" s="187" t="s">
        <v>1226</v>
      </c>
      <c r="B519" s="187" t="s">
        <v>1292</v>
      </c>
      <c r="C519" s="187" t="s">
        <v>942</v>
      </c>
      <c r="D519" s="187" t="s">
        <v>1293</v>
      </c>
      <c r="E519" s="187" t="s">
        <v>171</v>
      </c>
      <c r="F519" s="188"/>
      <c r="G519" s="18">
        <v>35500</v>
      </c>
      <c r="H519" s="18"/>
      <c r="I519" s="189"/>
      <c r="J519" s="189">
        <f>+G519</f>
        <v>35500</v>
      </c>
      <c r="K519" s="189">
        <f>+J519-I519</f>
        <v>35500</v>
      </c>
      <c r="L519" s="190" t="s">
        <v>551</v>
      </c>
    </row>
    <row r="520" spans="1:14" s="216" customFormat="1" ht="8.65" customHeight="1" x14ac:dyDescent="0.15">
      <c r="A520" s="187" t="s">
        <v>1226</v>
      </c>
      <c r="B520" s="187" t="s">
        <v>1294</v>
      </c>
      <c r="C520" s="187" t="s">
        <v>942</v>
      </c>
      <c r="D520" s="187" t="s">
        <v>1295</v>
      </c>
      <c r="E520" s="187" t="s">
        <v>171</v>
      </c>
      <c r="F520" s="188"/>
      <c r="G520" s="18"/>
      <c r="H520" s="18">
        <v>723200</v>
      </c>
      <c r="I520" s="189"/>
      <c r="J520" s="189">
        <f>723200-H$520</f>
        <v>0</v>
      </c>
      <c r="K520" s="189">
        <f>+J520-I$520</f>
        <v>0</v>
      </c>
      <c r="L520" s="190" t="s">
        <v>551</v>
      </c>
    </row>
    <row r="521" spans="1:14" s="216" customFormat="1" ht="8.65" customHeight="1" x14ac:dyDescent="0.15">
      <c r="A521" s="187" t="s">
        <v>1226</v>
      </c>
      <c r="B521" s="187" t="s">
        <v>1296</v>
      </c>
      <c r="C521" s="187" t="s">
        <v>942</v>
      </c>
      <c r="D521" s="187" t="s">
        <v>1297</v>
      </c>
      <c r="E521" s="187" t="s">
        <v>171</v>
      </c>
      <c r="F521" s="188"/>
      <c r="G521" s="18"/>
      <c r="H521" s="18">
        <v>45200</v>
      </c>
      <c r="I521" s="189"/>
      <c r="J521" s="189">
        <f t="shared" ref="J521:J523" si="47">723200-H$520</f>
        <v>0</v>
      </c>
      <c r="K521" s="189">
        <f t="shared" ref="K521:K532" si="48">+J521-I$520</f>
        <v>0</v>
      </c>
      <c r="L521" s="190" t="s">
        <v>551</v>
      </c>
    </row>
    <row r="522" spans="1:14" s="216" customFormat="1" ht="8.65" customHeight="1" x14ac:dyDescent="0.15">
      <c r="A522" s="187" t="s">
        <v>1226</v>
      </c>
      <c r="B522" s="187" t="s">
        <v>682</v>
      </c>
      <c r="C522" s="187" t="s">
        <v>683</v>
      </c>
      <c r="D522" s="187" t="s">
        <v>684</v>
      </c>
      <c r="E522" s="187" t="s">
        <v>171</v>
      </c>
      <c r="F522" s="188"/>
      <c r="G522" s="18"/>
      <c r="H522" s="18">
        <v>2400</v>
      </c>
      <c r="I522" s="189"/>
      <c r="J522" s="189">
        <f t="shared" si="47"/>
        <v>0</v>
      </c>
      <c r="K522" s="189">
        <f t="shared" si="48"/>
        <v>0</v>
      </c>
      <c r="L522" s="190" t="s">
        <v>551</v>
      </c>
    </row>
    <row r="523" spans="1:14" s="216" customFormat="1" ht="8.65" customHeight="1" x14ac:dyDescent="0.15">
      <c r="A523" s="187" t="s">
        <v>1226</v>
      </c>
      <c r="B523" s="187" t="s">
        <v>685</v>
      </c>
      <c r="C523" s="187" t="s">
        <v>683</v>
      </c>
      <c r="D523" s="187" t="s">
        <v>686</v>
      </c>
      <c r="E523" s="187" t="s">
        <v>171</v>
      </c>
      <c r="F523" s="188"/>
      <c r="G523" s="18"/>
      <c r="H523" s="18">
        <v>6215</v>
      </c>
      <c r="I523" s="189"/>
      <c r="J523" s="189">
        <f t="shared" si="47"/>
        <v>0</v>
      </c>
      <c r="K523" s="189">
        <f t="shared" si="48"/>
        <v>0</v>
      </c>
      <c r="L523" s="190" t="s">
        <v>551</v>
      </c>
    </row>
    <row r="524" spans="1:14" s="216" customFormat="1" ht="8.65" customHeight="1" x14ac:dyDescent="0.15">
      <c r="A524" s="187" t="s">
        <v>1226</v>
      </c>
      <c r="B524" s="187" t="s">
        <v>1298</v>
      </c>
      <c r="C524" s="187" t="s">
        <v>666</v>
      </c>
      <c r="D524" s="187" t="s">
        <v>1299</v>
      </c>
      <c r="E524" s="187" t="s">
        <v>171</v>
      </c>
      <c r="F524" s="188"/>
      <c r="G524" s="18">
        <v>306493</v>
      </c>
      <c r="H524" s="18"/>
      <c r="I524" s="189"/>
      <c r="J524" s="189">
        <f>13560+G524</f>
        <v>320053</v>
      </c>
      <c r="K524" s="189">
        <f t="shared" si="48"/>
        <v>320053</v>
      </c>
      <c r="L524" s="190" t="s">
        <v>551</v>
      </c>
    </row>
    <row r="525" spans="1:14" s="216" customFormat="1" ht="8.65" customHeight="1" x14ac:dyDescent="0.15">
      <c r="A525" s="187" t="s">
        <v>1226</v>
      </c>
      <c r="B525" s="187" t="s">
        <v>738</v>
      </c>
      <c r="C525" s="187" t="s">
        <v>683</v>
      </c>
      <c r="D525" s="187" t="s">
        <v>739</v>
      </c>
      <c r="E525" s="187" t="s">
        <v>171</v>
      </c>
      <c r="F525" s="188"/>
      <c r="G525" s="18"/>
      <c r="H525" s="18">
        <v>4925</v>
      </c>
      <c r="I525" s="189"/>
      <c r="J525" s="189">
        <f>4925-H525</f>
        <v>0</v>
      </c>
      <c r="K525" s="189">
        <f t="shared" si="48"/>
        <v>0</v>
      </c>
      <c r="L525" s="190" t="s">
        <v>551</v>
      </c>
    </row>
    <row r="526" spans="1:14" s="216" customFormat="1" ht="8.65" customHeight="1" x14ac:dyDescent="0.15">
      <c r="A526" s="187" t="s">
        <v>1226</v>
      </c>
      <c r="B526" s="187" t="s">
        <v>1300</v>
      </c>
      <c r="C526" s="187" t="s">
        <v>707</v>
      </c>
      <c r="D526" s="187" t="s">
        <v>1301</v>
      </c>
      <c r="E526" s="187" t="s">
        <v>171</v>
      </c>
      <c r="F526" s="188"/>
      <c r="G526" s="18">
        <v>19000</v>
      </c>
      <c r="H526" s="18"/>
      <c r="I526" s="189"/>
      <c r="J526" s="189">
        <f>+G526</f>
        <v>19000</v>
      </c>
      <c r="K526" s="189">
        <f t="shared" si="48"/>
        <v>19000</v>
      </c>
      <c r="L526" s="190" t="s">
        <v>551</v>
      </c>
    </row>
    <row r="527" spans="1:14" s="216" customFormat="1" ht="8.65" customHeight="1" x14ac:dyDescent="0.15">
      <c r="A527" s="187" t="s">
        <v>1226</v>
      </c>
      <c r="B527" s="187" t="s">
        <v>1302</v>
      </c>
      <c r="C527" s="187" t="s">
        <v>769</v>
      </c>
      <c r="D527" s="187" t="s">
        <v>1303</v>
      </c>
      <c r="E527" s="187" t="s">
        <v>171</v>
      </c>
      <c r="F527" s="188"/>
      <c r="G527" s="18"/>
      <c r="H527" s="18">
        <v>1446400</v>
      </c>
      <c r="I527" s="189"/>
      <c r="J527" s="189">
        <f>1446400-H$527</f>
        <v>0</v>
      </c>
      <c r="K527" s="189">
        <f t="shared" si="48"/>
        <v>0</v>
      </c>
      <c r="L527" s="190" t="s">
        <v>551</v>
      </c>
    </row>
    <row r="528" spans="1:14" s="216" customFormat="1" ht="8.65" customHeight="1" x14ac:dyDescent="0.15">
      <c r="A528" s="187" t="s">
        <v>1226</v>
      </c>
      <c r="B528" s="187" t="s">
        <v>1304</v>
      </c>
      <c r="C528" s="187" t="s">
        <v>769</v>
      </c>
      <c r="D528" s="187" t="s">
        <v>1305</v>
      </c>
      <c r="E528" s="187" t="s">
        <v>171</v>
      </c>
      <c r="F528" s="188"/>
      <c r="G528" s="18"/>
      <c r="H528" s="18">
        <v>1446400</v>
      </c>
      <c r="I528" s="189"/>
      <c r="J528" s="189">
        <f t="shared" ref="J528:J532" si="49">1446400-H$527</f>
        <v>0</v>
      </c>
      <c r="K528" s="189">
        <f t="shared" si="48"/>
        <v>0</v>
      </c>
      <c r="L528" s="190" t="s">
        <v>551</v>
      </c>
    </row>
    <row r="529" spans="1:17" s="216" customFormat="1" ht="8.65" customHeight="1" x14ac:dyDescent="0.15">
      <c r="A529" s="187" t="s">
        <v>1226</v>
      </c>
      <c r="B529" s="187" t="s">
        <v>848</v>
      </c>
      <c r="C529" s="187" t="s">
        <v>666</v>
      </c>
      <c r="D529" s="187" t="s">
        <v>1306</v>
      </c>
      <c r="E529" s="187" t="s">
        <v>171</v>
      </c>
      <c r="F529" s="188"/>
      <c r="G529" s="18"/>
      <c r="H529" s="18">
        <v>11865</v>
      </c>
      <c r="I529" s="189"/>
      <c r="J529" s="189">
        <f t="shared" si="49"/>
        <v>0</v>
      </c>
      <c r="K529" s="189">
        <f t="shared" si="48"/>
        <v>0</v>
      </c>
      <c r="L529" s="190" t="s">
        <v>551</v>
      </c>
    </row>
    <row r="530" spans="1:17" s="216" customFormat="1" ht="8.65" customHeight="1" x14ac:dyDescent="0.15">
      <c r="A530" s="187" t="s">
        <v>1226</v>
      </c>
      <c r="B530" s="187" t="s">
        <v>1307</v>
      </c>
      <c r="C530" s="187" t="s">
        <v>666</v>
      </c>
      <c r="D530" s="187" t="s">
        <v>1308</v>
      </c>
      <c r="E530" s="187" t="s">
        <v>171</v>
      </c>
      <c r="F530" s="188"/>
      <c r="G530" s="18"/>
      <c r="H530" s="18">
        <v>1921</v>
      </c>
      <c r="I530" s="189"/>
      <c r="J530" s="189">
        <f t="shared" si="49"/>
        <v>0</v>
      </c>
      <c r="K530" s="189">
        <f t="shared" si="48"/>
        <v>0</v>
      </c>
      <c r="L530" s="190" t="s">
        <v>551</v>
      </c>
    </row>
    <row r="531" spans="1:17" s="216" customFormat="1" ht="8.65" customHeight="1" x14ac:dyDescent="0.15">
      <c r="A531" s="187" t="s">
        <v>1226</v>
      </c>
      <c r="B531" s="187" t="s">
        <v>993</v>
      </c>
      <c r="C531" s="187" t="s">
        <v>666</v>
      </c>
      <c r="D531" s="187" t="s">
        <v>1309</v>
      </c>
      <c r="E531" s="187" t="s">
        <v>171</v>
      </c>
      <c r="F531" s="188"/>
      <c r="G531" s="18"/>
      <c r="H531" s="18">
        <v>26894</v>
      </c>
      <c r="I531" s="189"/>
      <c r="J531" s="189">
        <f t="shared" si="49"/>
        <v>0</v>
      </c>
      <c r="K531" s="189">
        <f t="shared" si="48"/>
        <v>0</v>
      </c>
      <c r="L531" s="190" t="s">
        <v>551</v>
      </c>
    </row>
    <row r="532" spans="1:17" s="216" customFormat="1" ht="8.65" customHeight="1" x14ac:dyDescent="0.15">
      <c r="A532" s="187" t="s">
        <v>1226</v>
      </c>
      <c r="B532" s="187" t="s">
        <v>758</v>
      </c>
      <c r="C532" s="187" t="s">
        <v>714</v>
      </c>
      <c r="D532" s="187" t="s">
        <v>759</v>
      </c>
      <c r="E532" s="187" t="s">
        <v>171</v>
      </c>
      <c r="F532" s="188"/>
      <c r="G532" s="18"/>
      <c r="H532" s="18">
        <v>693906.5</v>
      </c>
      <c r="I532" s="189"/>
      <c r="J532" s="189">
        <f t="shared" si="49"/>
        <v>0</v>
      </c>
      <c r="K532" s="189">
        <f t="shared" si="48"/>
        <v>0</v>
      </c>
      <c r="L532" s="190" t="s">
        <v>551</v>
      </c>
    </row>
    <row r="533" spans="1:17" s="216" customFormat="1" ht="8.65" customHeight="1" x14ac:dyDescent="0.15">
      <c r="A533" s="187" t="s">
        <v>1226</v>
      </c>
      <c r="B533" s="187" t="s">
        <v>1310</v>
      </c>
      <c r="C533" s="187" t="s">
        <v>714</v>
      </c>
      <c r="D533" s="187" t="s">
        <v>1311</v>
      </c>
      <c r="E533" s="187" t="s">
        <v>171</v>
      </c>
      <c r="F533" s="188"/>
      <c r="G533" s="18">
        <v>300000</v>
      </c>
      <c r="H533" s="18"/>
      <c r="I533" s="189">
        <v>287526.24</v>
      </c>
      <c r="J533" s="189">
        <f>+G533</f>
        <v>300000</v>
      </c>
      <c r="K533" s="189">
        <f>+J533-I533</f>
        <v>12473.760000000009</v>
      </c>
      <c r="L533" s="190" t="s">
        <v>551</v>
      </c>
    </row>
    <row r="534" spans="1:17" s="225" customFormat="1" ht="10.9" customHeight="1" x14ac:dyDescent="0.15">
      <c r="A534" s="270" t="s">
        <v>180</v>
      </c>
      <c r="B534" s="270"/>
      <c r="C534" s="270"/>
      <c r="D534" s="270"/>
      <c r="E534" s="270"/>
      <c r="F534" s="270"/>
      <c r="G534" s="191"/>
      <c r="H534" s="191"/>
      <c r="I534" s="192">
        <f>SUM(I517:I533)</f>
        <v>287526.24</v>
      </c>
      <c r="J534" s="192">
        <f>SUM(J517:J533)</f>
        <v>674553</v>
      </c>
      <c r="K534" s="192">
        <f>SUM(K517:K533)</f>
        <v>387026.76</v>
      </c>
      <c r="L534" s="193"/>
    </row>
    <row r="535" spans="1:17" s="211" customFormat="1" ht="12.6" customHeight="1" x14ac:dyDescent="0.2">
      <c r="A535" s="213"/>
      <c r="B535" s="213"/>
      <c r="C535" s="213"/>
      <c r="D535" s="213"/>
      <c r="E535" s="213"/>
      <c r="F535" s="213"/>
      <c r="G535" s="213"/>
      <c r="H535" s="214"/>
      <c r="I535" s="215"/>
      <c r="J535" s="215"/>
      <c r="K535" s="215"/>
      <c r="L535" s="213"/>
      <c r="M535" s="213"/>
      <c r="N535" s="213"/>
      <c r="O535" s="213"/>
      <c r="P535" s="213"/>
      <c r="Q535" s="213"/>
    </row>
    <row r="536" spans="1:17" s="180" customFormat="1" ht="8.65" customHeight="1" x14ac:dyDescent="0.15">
      <c r="A536" s="187" t="s">
        <v>1226</v>
      </c>
      <c r="B536" s="187" t="s">
        <v>1010</v>
      </c>
      <c r="C536" s="187" t="s">
        <v>666</v>
      </c>
      <c r="D536" s="187" t="s">
        <v>1312</v>
      </c>
      <c r="E536" s="188">
        <v>3150505</v>
      </c>
      <c r="F536" s="188" t="s">
        <v>184</v>
      </c>
      <c r="G536" s="188"/>
      <c r="H536" s="226">
        <v>72000</v>
      </c>
      <c r="I536" s="227"/>
      <c r="J536" s="189">
        <f>72000-H$536</f>
        <v>0</v>
      </c>
      <c r="K536" s="227" t="s">
        <v>1313</v>
      </c>
      <c r="L536" s="190" t="s">
        <v>551</v>
      </c>
    </row>
    <row r="537" spans="1:17" s="180" customFormat="1" ht="8.65" customHeight="1" x14ac:dyDescent="0.15">
      <c r="A537" s="187" t="s">
        <v>1226</v>
      </c>
      <c r="B537" s="187" t="s">
        <v>665</v>
      </c>
      <c r="C537" s="187" t="s">
        <v>666</v>
      </c>
      <c r="D537" s="187" t="s">
        <v>1229</v>
      </c>
      <c r="E537" s="188">
        <v>3150505</v>
      </c>
      <c r="F537" s="188"/>
      <c r="G537" s="188"/>
      <c r="H537" s="226">
        <v>180000</v>
      </c>
      <c r="I537" s="227"/>
      <c r="J537" s="189">
        <f t="shared" ref="J537:J539" si="50">72000-H$536</f>
        <v>0</v>
      </c>
      <c r="K537" s="227" t="s">
        <v>1313</v>
      </c>
      <c r="L537" s="190" t="s">
        <v>551</v>
      </c>
    </row>
    <row r="538" spans="1:17" s="180" customFormat="1" ht="8.65" customHeight="1" x14ac:dyDescent="0.15">
      <c r="A538" s="187" t="s">
        <v>1226</v>
      </c>
      <c r="B538" s="187" t="s">
        <v>762</v>
      </c>
      <c r="C538" s="187" t="s">
        <v>666</v>
      </c>
      <c r="D538" s="187" t="s">
        <v>1015</v>
      </c>
      <c r="E538" s="188">
        <v>3150505</v>
      </c>
      <c r="F538" s="188"/>
      <c r="G538" s="188"/>
      <c r="H538" s="226">
        <v>10000</v>
      </c>
      <c r="I538" s="227"/>
      <c r="J538" s="189">
        <f t="shared" si="50"/>
        <v>0</v>
      </c>
      <c r="K538" s="227" t="s">
        <v>1313</v>
      </c>
      <c r="L538" s="190" t="s">
        <v>551</v>
      </c>
    </row>
    <row r="539" spans="1:17" s="180" customFormat="1" ht="8.65" customHeight="1" x14ac:dyDescent="0.15">
      <c r="A539" s="187" t="s">
        <v>1226</v>
      </c>
      <c r="B539" s="187" t="s">
        <v>728</v>
      </c>
      <c r="C539" s="187" t="s">
        <v>666</v>
      </c>
      <c r="D539" s="187" t="s">
        <v>729</v>
      </c>
      <c r="E539" s="188">
        <v>3150505</v>
      </c>
      <c r="F539" s="188"/>
      <c r="G539" s="188"/>
      <c r="H539" s="226">
        <v>15600</v>
      </c>
      <c r="I539" s="227"/>
      <c r="J539" s="189">
        <f t="shared" si="50"/>
        <v>0</v>
      </c>
      <c r="K539" s="227" t="s">
        <v>1313</v>
      </c>
      <c r="L539" s="190" t="s">
        <v>551</v>
      </c>
    </row>
    <row r="540" spans="1:17" s="180" customFormat="1" ht="8.65" customHeight="1" x14ac:dyDescent="0.15">
      <c r="A540" s="187" t="s">
        <v>1226</v>
      </c>
      <c r="B540" s="187" t="s">
        <v>732</v>
      </c>
      <c r="C540" s="187" t="s">
        <v>666</v>
      </c>
      <c r="D540" s="187" t="s">
        <v>733</v>
      </c>
      <c r="E540" s="188">
        <v>3150505</v>
      </c>
      <c r="F540" s="188"/>
      <c r="G540" s="188"/>
      <c r="H540" s="226">
        <v>97753</v>
      </c>
      <c r="I540" s="227"/>
      <c r="J540" s="228">
        <f>360000-H540</f>
        <v>262247</v>
      </c>
      <c r="K540" s="228">
        <v>262247</v>
      </c>
      <c r="L540" s="190" t="s">
        <v>551</v>
      </c>
    </row>
    <row r="541" spans="1:17" s="180" customFormat="1" ht="8.65" customHeight="1" x14ac:dyDescent="0.15">
      <c r="A541" s="187" t="s">
        <v>1226</v>
      </c>
      <c r="B541" s="187" t="s">
        <v>771</v>
      </c>
      <c r="C541" s="187" t="s">
        <v>683</v>
      </c>
      <c r="D541" s="187" t="s">
        <v>772</v>
      </c>
      <c r="E541" s="188">
        <v>3150505</v>
      </c>
      <c r="F541" s="188"/>
      <c r="G541" s="188"/>
      <c r="H541" s="226">
        <v>12500</v>
      </c>
      <c r="I541" s="227"/>
      <c r="J541" s="189">
        <f>12500-H$541</f>
        <v>0</v>
      </c>
      <c r="K541" s="227" t="s">
        <v>1313</v>
      </c>
      <c r="L541" s="190" t="s">
        <v>551</v>
      </c>
    </row>
    <row r="542" spans="1:17" s="180" customFormat="1" ht="8.65" customHeight="1" x14ac:dyDescent="0.15">
      <c r="A542" s="187" t="s">
        <v>1226</v>
      </c>
      <c r="B542" s="187" t="s">
        <v>682</v>
      </c>
      <c r="C542" s="187" t="s">
        <v>683</v>
      </c>
      <c r="D542" s="187" t="s">
        <v>684</v>
      </c>
      <c r="E542" s="188">
        <v>3150505</v>
      </c>
      <c r="F542" s="188"/>
      <c r="G542" s="188"/>
      <c r="H542" s="226">
        <v>12500</v>
      </c>
      <c r="I542" s="227"/>
      <c r="J542" s="189">
        <f t="shared" ref="J542:J543" si="51">12500-H$541</f>
        <v>0</v>
      </c>
      <c r="K542" s="227" t="s">
        <v>1313</v>
      </c>
      <c r="L542" s="190" t="s">
        <v>551</v>
      </c>
    </row>
    <row r="543" spans="1:17" s="180" customFormat="1" ht="8.65" customHeight="1" x14ac:dyDescent="0.15">
      <c r="A543" s="187" t="s">
        <v>1226</v>
      </c>
      <c r="B543" s="187" t="s">
        <v>969</v>
      </c>
      <c r="C543" s="187" t="s">
        <v>683</v>
      </c>
      <c r="D543" s="187" t="s">
        <v>970</v>
      </c>
      <c r="E543" s="188">
        <v>3150505</v>
      </c>
      <c r="F543" s="188"/>
      <c r="G543" s="188"/>
      <c r="H543" s="226">
        <v>10000</v>
      </c>
      <c r="I543" s="227"/>
      <c r="J543" s="189">
        <f t="shared" si="51"/>
        <v>0</v>
      </c>
      <c r="K543" s="227" t="s">
        <v>1313</v>
      </c>
      <c r="L543" s="190" t="s">
        <v>551</v>
      </c>
    </row>
    <row r="544" spans="1:17" s="180" customFormat="1" ht="8.65" customHeight="1" x14ac:dyDescent="0.15">
      <c r="A544" s="187" t="s">
        <v>1226</v>
      </c>
      <c r="B544" s="187" t="s">
        <v>1314</v>
      </c>
      <c r="C544" s="187" t="s">
        <v>666</v>
      </c>
      <c r="D544" s="187" t="s">
        <v>1315</v>
      </c>
      <c r="E544" s="188">
        <v>3150505</v>
      </c>
      <c r="F544" s="188"/>
      <c r="G544" s="188"/>
      <c r="H544" s="188"/>
      <c r="I544" s="227"/>
      <c r="J544" s="228">
        <v>280100</v>
      </c>
      <c r="K544" s="228">
        <v>280100</v>
      </c>
      <c r="L544" s="190" t="s">
        <v>551</v>
      </c>
    </row>
    <row r="545" spans="1:12" s="180" customFormat="1" ht="8.65" customHeight="1" x14ac:dyDescent="0.15">
      <c r="A545" s="187" t="s">
        <v>1226</v>
      </c>
      <c r="B545" s="187" t="s">
        <v>1314</v>
      </c>
      <c r="C545" s="187" t="s">
        <v>864</v>
      </c>
      <c r="D545" s="187" t="s">
        <v>1316</v>
      </c>
      <c r="E545" s="188">
        <v>3150505</v>
      </c>
      <c r="F545" s="188"/>
      <c r="G545" s="188"/>
      <c r="H545" s="226">
        <v>12000</v>
      </c>
      <c r="I545" s="227"/>
      <c r="J545" s="189">
        <f>12000-H$545</f>
        <v>0</v>
      </c>
      <c r="K545" s="227" t="s">
        <v>1313</v>
      </c>
      <c r="L545" s="190" t="s">
        <v>551</v>
      </c>
    </row>
    <row r="546" spans="1:12" s="180" customFormat="1" ht="8.65" customHeight="1" x14ac:dyDescent="0.15">
      <c r="A546" s="187" t="s">
        <v>1226</v>
      </c>
      <c r="B546" s="187" t="s">
        <v>904</v>
      </c>
      <c r="C546" s="187" t="s">
        <v>683</v>
      </c>
      <c r="D546" s="187" t="s">
        <v>905</v>
      </c>
      <c r="E546" s="188">
        <v>3150505</v>
      </c>
      <c r="F546" s="188"/>
      <c r="G546" s="188"/>
      <c r="H546" s="226">
        <v>10000</v>
      </c>
      <c r="I546" s="227"/>
      <c r="J546" s="189">
        <f t="shared" ref="J546:J571" si="52">12000-H$545</f>
        <v>0</v>
      </c>
      <c r="K546" s="227" t="s">
        <v>1313</v>
      </c>
      <c r="L546" s="190" t="s">
        <v>551</v>
      </c>
    </row>
    <row r="547" spans="1:12" s="180" customFormat="1" ht="8.65" customHeight="1" x14ac:dyDescent="0.15">
      <c r="A547" s="187" t="s">
        <v>1226</v>
      </c>
      <c r="B547" s="187" t="s">
        <v>738</v>
      </c>
      <c r="C547" s="187" t="s">
        <v>683</v>
      </c>
      <c r="D547" s="187" t="s">
        <v>739</v>
      </c>
      <c r="E547" s="188">
        <v>3150505</v>
      </c>
      <c r="F547" s="188"/>
      <c r="G547" s="188"/>
      <c r="H547" s="226">
        <v>10000</v>
      </c>
      <c r="I547" s="227"/>
      <c r="J547" s="189">
        <f t="shared" si="52"/>
        <v>0</v>
      </c>
      <c r="K547" s="227" t="s">
        <v>1313</v>
      </c>
      <c r="L547" s="190" t="s">
        <v>551</v>
      </c>
    </row>
    <row r="548" spans="1:12" s="180" customFormat="1" ht="8.65" customHeight="1" x14ac:dyDescent="0.15">
      <c r="A548" s="187" t="s">
        <v>1226</v>
      </c>
      <c r="B548" s="187" t="s">
        <v>834</v>
      </c>
      <c r="C548" s="187" t="s">
        <v>683</v>
      </c>
      <c r="D548" s="187" t="s">
        <v>835</v>
      </c>
      <c r="E548" s="188">
        <v>3150505</v>
      </c>
      <c r="F548" s="188"/>
      <c r="G548" s="188"/>
      <c r="H548" s="226">
        <v>12000</v>
      </c>
      <c r="I548" s="227"/>
      <c r="J548" s="189">
        <f t="shared" si="52"/>
        <v>0</v>
      </c>
      <c r="K548" s="227" t="s">
        <v>1313</v>
      </c>
      <c r="L548" s="190" t="s">
        <v>551</v>
      </c>
    </row>
    <row r="549" spans="1:12" s="180" customFormat="1" ht="8.65" customHeight="1" x14ac:dyDescent="0.15">
      <c r="A549" s="187" t="s">
        <v>1226</v>
      </c>
      <c r="B549" s="187" t="s">
        <v>779</v>
      </c>
      <c r="C549" s="187" t="s">
        <v>683</v>
      </c>
      <c r="D549" s="187" t="s">
        <v>780</v>
      </c>
      <c r="E549" s="188">
        <v>3150505</v>
      </c>
      <c r="F549" s="188"/>
      <c r="G549" s="188"/>
      <c r="H549" s="226">
        <v>10000</v>
      </c>
      <c r="I549" s="227"/>
      <c r="J549" s="189">
        <f t="shared" si="52"/>
        <v>0</v>
      </c>
      <c r="K549" s="227" t="s">
        <v>1313</v>
      </c>
      <c r="L549" s="190" t="s">
        <v>551</v>
      </c>
    </row>
    <row r="550" spans="1:12" s="180" customFormat="1" ht="8.65" customHeight="1" x14ac:dyDescent="0.15">
      <c r="A550" s="187" t="s">
        <v>1226</v>
      </c>
      <c r="B550" s="187" t="s">
        <v>1317</v>
      </c>
      <c r="C550" s="187" t="s">
        <v>683</v>
      </c>
      <c r="D550" s="187" t="s">
        <v>1318</v>
      </c>
      <c r="E550" s="188">
        <v>3150505</v>
      </c>
      <c r="F550" s="188"/>
      <c r="G550" s="188"/>
      <c r="H550" s="226">
        <v>12000</v>
      </c>
      <c r="I550" s="227"/>
      <c r="J550" s="189">
        <f t="shared" si="52"/>
        <v>0</v>
      </c>
      <c r="K550" s="227" t="s">
        <v>1313</v>
      </c>
      <c r="L550" s="190" t="s">
        <v>551</v>
      </c>
    </row>
    <row r="551" spans="1:12" s="180" customFormat="1" ht="8.65" customHeight="1" x14ac:dyDescent="0.15">
      <c r="A551" s="187" t="s">
        <v>1226</v>
      </c>
      <c r="B551" s="187" t="s">
        <v>1049</v>
      </c>
      <c r="C551" s="187" t="s">
        <v>694</v>
      </c>
      <c r="D551" s="187" t="s">
        <v>1050</v>
      </c>
      <c r="E551" s="188">
        <v>3150505</v>
      </c>
      <c r="F551" s="188"/>
      <c r="G551" s="188"/>
      <c r="H551" s="226">
        <v>10000</v>
      </c>
      <c r="I551" s="227"/>
      <c r="J551" s="189">
        <f t="shared" si="52"/>
        <v>0</v>
      </c>
      <c r="K551" s="227" t="s">
        <v>1313</v>
      </c>
      <c r="L551" s="190" t="s">
        <v>551</v>
      </c>
    </row>
    <row r="552" spans="1:12" s="180" customFormat="1" ht="8.65" customHeight="1" x14ac:dyDescent="0.15">
      <c r="A552" s="187" t="s">
        <v>1226</v>
      </c>
      <c r="B552" s="187" t="s">
        <v>1092</v>
      </c>
      <c r="C552" s="187" t="s">
        <v>694</v>
      </c>
      <c r="D552" s="187" t="s">
        <v>1093</v>
      </c>
      <c r="E552" s="188">
        <v>3150505</v>
      </c>
      <c r="F552" s="188"/>
      <c r="G552" s="188"/>
      <c r="H552" s="226">
        <v>10000</v>
      </c>
      <c r="I552" s="227"/>
      <c r="J552" s="189">
        <f t="shared" si="52"/>
        <v>0</v>
      </c>
      <c r="K552" s="227" t="s">
        <v>1313</v>
      </c>
      <c r="L552" s="190" t="s">
        <v>551</v>
      </c>
    </row>
    <row r="553" spans="1:12" s="180" customFormat="1" ht="8.65" customHeight="1" x14ac:dyDescent="0.15">
      <c r="A553" s="187" t="s">
        <v>1226</v>
      </c>
      <c r="B553" s="187" t="s">
        <v>1096</v>
      </c>
      <c r="C553" s="187" t="s">
        <v>694</v>
      </c>
      <c r="D553" s="187" t="s">
        <v>1097</v>
      </c>
      <c r="E553" s="188">
        <v>3150505</v>
      </c>
      <c r="F553" s="188"/>
      <c r="G553" s="188"/>
      <c r="H553" s="226">
        <v>15000</v>
      </c>
      <c r="I553" s="227"/>
      <c r="J553" s="189">
        <f t="shared" si="52"/>
        <v>0</v>
      </c>
      <c r="K553" s="227" t="s">
        <v>1313</v>
      </c>
      <c r="L553" s="190" t="s">
        <v>551</v>
      </c>
    </row>
    <row r="554" spans="1:12" s="180" customFormat="1" ht="8.65" customHeight="1" x14ac:dyDescent="0.15">
      <c r="A554" s="187" t="s">
        <v>1226</v>
      </c>
      <c r="B554" s="187" t="s">
        <v>1100</v>
      </c>
      <c r="C554" s="187" t="s">
        <v>694</v>
      </c>
      <c r="D554" s="187" t="s">
        <v>1101</v>
      </c>
      <c r="E554" s="188">
        <v>3150505</v>
      </c>
      <c r="F554" s="188"/>
      <c r="G554" s="188"/>
      <c r="H554" s="226">
        <v>10000</v>
      </c>
      <c r="I554" s="227"/>
      <c r="J554" s="189">
        <f t="shared" si="52"/>
        <v>0</v>
      </c>
      <c r="K554" s="227" t="s">
        <v>1313</v>
      </c>
      <c r="L554" s="190" t="s">
        <v>551</v>
      </c>
    </row>
    <row r="555" spans="1:12" s="180" customFormat="1" ht="8.65" customHeight="1" x14ac:dyDescent="0.15">
      <c r="A555" s="187" t="s">
        <v>1226</v>
      </c>
      <c r="B555" s="187" t="s">
        <v>906</v>
      </c>
      <c r="C555" s="187" t="s">
        <v>683</v>
      </c>
      <c r="D555" s="187" t="s">
        <v>907</v>
      </c>
      <c r="E555" s="188">
        <v>3150505</v>
      </c>
      <c r="F555" s="188"/>
      <c r="G555" s="188"/>
      <c r="H555" s="226">
        <v>10000</v>
      </c>
      <c r="I555" s="227"/>
      <c r="J555" s="189">
        <f t="shared" si="52"/>
        <v>0</v>
      </c>
      <c r="K555" s="227" t="s">
        <v>1313</v>
      </c>
      <c r="L555" s="190" t="s">
        <v>551</v>
      </c>
    </row>
    <row r="556" spans="1:12" s="180" customFormat="1" ht="8.65" customHeight="1" x14ac:dyDescent="0.15">
      <c r="A556" s="187" t="s">
        <v>1226</v>
      </c>
      <c r="B556" s="187" t="s">
        <v>1319</v>
      </c>
      <c r="C556" s="187" t="s">
        <v>769</v>
      </c>
      <c r="D556" s="187" t="s">
        <v>1320</v>
      </c>
      <c r="E556" s="188">
        <v>3150505</v>
      </c>
      <c r="F556" s="188"/>
      <c r="G556" s="188"/>
      <c r="H556" s="226">
        <v>120000</v>
      </c>
      <c r="I556" s="227"/>
      <c r="J556" s="189">
        <f t="shared" si="52"/>
        <v>0</v>
      </c>
      <c r="K556" s="227" t="s">
        <v>1313</v>
      </c>
      <c r="L556" s="190" t="s">
        <v>551</v>
      </c>
    </row>
    <row r="557" spans="1:12" s="180" customFormat="1" ht="8.65" customHeight="1" x14ac:dyDescent="0.15">
      <c r="A557" s="187" t="s">
        <v>1226</v>
      </c>
      <c r="B557" s="187" t="s">
        <v>1307</v>
      </c>
      <c r="C557" s="187" t="s">
        <v>666</v>
      </c>
      <c r="D557" s="187" t="s">
        <v>1321</v>
      </c>
      <c r="E557" s="188">
        <v>3150505</v>
      </c>
      <c r="F557" s="188"/>
      <c r="G557" s="188"/>
      <c r="H557" s="226">
        <v>10000</v>
      </c>
      <c r="I557" s="227"/>
      <c r="J557" s="189">
        <f t="shared" si="52"/>
        <v>0</v>
      </c>
      <c r="K557" s="227" t="s">
        <v>1313</v>
      </c>
      <c r="L557" s="190" t="s">
        <v>551</v>
      </c>
    </row>
    <row r="558" spans="1:12" s="180" customFormat="1" ht="8.65" customHeight="1" x14ac:dyDescent="0.15">
      <c r="A558" s="187" t="s">
        <v>1226</v>
      </c>
      <c r="B558" s="187" t="s">
        <v>960</v>
      </c>
      <c r="C558" s="187" t="s">
        <v>683</v>
      </c>
      <c r="D558" s="187" t="s">
        <v>961</v>
      </c>
      <c r="E558" s="188">
        <v>3150505</v>
      </c>
      <c r="F558" s="188"/>
      <c r="G558" s="188"/>
      <c r="H558" s="226">
        <v>10500</v>
      </c>
      <c r="I558" s="227"/>
      <c r="J558" s="189">
        <f t="shared" si="52"/>
        <v>0</v>
      </c>
      <c r="K558" s="227" t="s">
        <v>1313</v>
      </c>
      <c r="L558" s="190" t="s">
        <v>551</v>
      </c>
    </row>
    <row r="559" spans="1:12" s="180" customFormat="1" ht="8.65" customHeight="1" x14ac:dyDescent="0.15">
      <c r="A559" s="187" t="s">
        <v>1226</v>
      </c>
      <c r="B559" s="187" t="s">
        <v>1322</v>
      </c>
      <c r="C559" s="187" t="s">
        <v>683</v>
      </c>
      <c r="D559" s="187" t="s">
        <v>1323</v>
      </c>
      <c r="E559" s="188">
        <v>3150505</v>
      </c>
      <c r="F559" s="188"/>
      <c r="G559" s="188"/>
      <c r="H559" s="226">
        <v>10000</v>
      </c>
      <c r="I559" s="227"/>
      <c r="J559" s="189">
        <f t="shared" si="52"/>
        <v>0</v>
      </c>
      <c r="K559" s="227" t="s">
        <v>1313</v>
      </c>
      <c r="L559" s="190" t="s">
        <v>551</v>
      </c>
    </row>
    <row r="560" spans="1:12" s="180" customFormat="1" ht="8.65" customHeight="1" x14ac:dyDescent="0.15">
      <c r="A560" s="187" t="s">
        <v>1226</v>
      </c>
      <c r="B560" s="187" t="s">
        <v>805</v>
      </c>
      <c r="C560" s="187" t="s">
        <v>683</v>
      </c>
      <c r="D560" s="187" t="s">
        <v>806</v>
      </c>
      <c r="E560" s="188">
        <v>3150505</v>
      </c>
      <c r="F560" s="188"/>
      <c r="G560" s="188"/>
      <c r="H560" s="226">
        <v>10000</v>
      </c>
      <c r="I560" s="227"/>
      <c r="J560" s="189">
        <f t="shared" si="52"/>
        <v>0</v>
      </c>
      <c r="K560" s="227" t="s">
        <v>1313</v>
      </c>
      <c r="L560" s="190" t="s">
        <v>551</v>
      </c>
    </row>
    <row r="561" spans="1:12" s="180" customFormat="1" ht="8.65" customHeight="1" x14ac:dyDescent="0.15">
      <c r="A561" s="187" t="s">
        <v>1226</v>
      </c>
      <c r="B561" s="187" t="s">
        <v>983</v>
      </c>
      <c r="C561" s="187" t="s">
        <v>683</v>
      </c>
      <c r="D561" s="187" t="s">
        <v>1324</v>
      </c>
      <c r="E561" s="188">
        <v>3150505</v>
      </c>
      <c r="F561" s="188"/>
      <c r="G561" s="188"/>
      <c r="H561" s="226">
        <v>10000</v>
      </c>
      <c r="I561" s="227"/>
      <c r="J561" s="189">
        <f t="shared" si="52"/>
        <v>0</v>
      </c>
      <c r="K561" s="227" t="s">
        <v>1313</v>
      </c>
      <c r="L561" s="190" t="s">
        <v>551</v>
      </c>
    </row>
    <row r="562" spans="1:12" s="180" customFormat="1" ht="8.65" customHeight="1" x14ac:dyDescent="0.15">
      <c r="A562" s="187" t="s">
        <v>1226</v>
      </c>
      <c r="B562" s="187" t="s">
        <v>807</v>
      </c>
      <c r="C562" s="187" t="s">
        <v>683</v>
      </c>
      <c r="D562" s="187" t="s">
        <v>808</v>
      </c>
      <c r="E562" s="188">
        <v>3150505</v>
      </c>
      <c r="F562" s="188"/>
      <c r="G562" s="188"/>
      <c r="H562" s="226">
        <v>10000</v>
      </c>
      <c r="I562" s="227"/>
      <c r="J562" s="189">
        <f t="shared" si="52"/>
        <v>0</v>
      </c>
      <c r="K562" s="227" t="s">
        <v>1313</v>
      </c>
      <c r="L562" s="190" t="s">
        <v>551</v>
      </c>
    </row>
    <row r="563" spans="1:12" s="180" customFormat="1" ht="8.65" customHeight="1" x14ac:dyDescent="0.15">
      <c r="A563" s="187" t="s">
        <v>1226</v>
      </c>
      <c r="B563" s="187" t="s">
        <v>987</v>
      </c>
      <c r="C563" s="187" t="s">
        <v>683</v>
      </c>
      <c r="D563" s="187" t="s">
        <v>988</v>
      </c>
      <c r="E563" s="188">
        <v>3150505</v>
      </c>
      <c r="F563" s="188"/>
      <c r="G563" s="188"/>
      <c r="H563" s="226">
        <v>10000</v>
      </c>
      <c r="I563" s="227"/>
      <c r="J563" s="189">
        <f t="shared" si="52"/>
        <v>0</v>
      </c>
      <c r="K563" s="227" t="s">
        <v>1313</v>
      </c>
      <c r="L563" s="190" t="s">
        <v>551</v>
      </c>
    </row>
    <row r="564" spans="1:12" s="180" customFormat="1" ht="8.65" customHeight="1" x14ac:dyDescent="0.15">
      <c r="A564" s="187" t="s">
        <v>1226</v>
      </c>
      <c r="B564" s="187" t="s">
        <v>1325</v>
      </c>
      <c r="C564" s="187" t="s">
        <v>683</v>
      </c>
      <c r="D564" s="187" t="s">
        <v>1326</v>
      </c>
      <c r="E564" s="188">
        <v>3150505</v>
      </c>
      <c r="F564" s="188"/>
      <c r="G564" s="188"/>
      <c r="H564" s="226">
        <v>10000</v>
      </c>
      <c r="I564" s="227"/>
      <c r="J564" s="189">
        <f t="shared" si="52"/>
        <v>0</v>
      </c>
      <c r="K564" s="227" t="s">
        <v>1313</v>
      </c>
      <c r="L564" s="190" t="s">
        <v>551</v>
      </c>
    </row>
    <row r="565" spans="1:12" s="180" customFormat="1" ht="8.65" customHeight="1" x14ac:dyDescent="0.15">
      <c r="A565" s="187" t="s">
        <v>1226</v>
      </c>
      <c r="B565" s="187" t="s">
        <v>854</v>
      </c>
      <c r="C565" s="187" t="s">
        <v>683</v>
      </c>
      <c r="D565" s="187" t="s">
        <v>855</v>
      </c>
      <c r="E565" s="188">
        <v>3150505</v>
      </c>
      <c r="F565" s="188"/>
      <c r="G565" s="188"/>
      <c r="H565" s="226">
        <v>10000</v>
      </c>
      <c r="I565" s="227"/>
      <c r="J565" s="189">
        <f t="shared" si="52"/>
        <v>0</v>
      </c>
      <c r="K565" s="227" t="s">
        <v>1313</v>
      </c>
      <c r="L565" s="190" t="s">
        <v>551</v>
      </c>
    </row>
    <row r="566" spans="1:12" s="180" customFormat="1" ht="8.65" customHeight="1" x14ac:dyDescent="0.15">
      <c r="A566" s="187" t="s">
        <v>1226</v>
      </c>
      <c r="B566" s="187" t="s">
        <v>1127</v>
      </c>
      <c r="C566" s="187" t="s">
        <v>666</v>
      </c>
      <c r="D566" s="187" t="s">
        <v>1128</v>
      </c>
      <c r="E566" s="188">
        <v>3150505</v>
      </c>
      <c r="F566" s="188"/>
      <c r="G566" s="188"/>
      <c r="H566" s="226">
        <v>22500</v>
      </c>
      <c r="I566" s="227"/>
      <c r="J566" s="189">
        <f t="shared" si="52"/>
        <v>0</v>
      </c>
      <c r="K566" s="227" t="s">
        <v>1313</v>
      </c>
      <c r="L566" s="190" t="s">
        <v>551</v>
      </c>
    </row>
    <row r="567" spans="1:12" s="180" customFormat="1" ht="8.65" customHeight="1" x14ac:dyDescent="0.15">
      <c r="A567" s="187" t="s">
        <v>1226</v>
      </c>
      <c r="B567" s="187" t="s">
        <v>993</v>
      </c>
      <c r="C567" s="187" t="s">
        <v>666</v>
      </c>
      <c r="D567" s="187" t="s">
        <v>1309</v>
      </c>
      <c r="E567" s="188">
        <v>3150505</v>
      </c>
      <c r="F567" s="188"/>
      <c r="G567" s="188"/>
      <c r="H567" s="226">
        <v>10000</v>
      </c>
      <c r="I567" s="227"/>
      <c r="J567" s="189">
        <f t="shared" si="52"/>
        <v>0</v>
      </c>
      <c r="K567" s="227" t="s">
        <v>1313</v>
      </c>
      <c r="L567" s="190" t="s">
        <v>551</v>
      </c>
    </row>
    <row r="568" spans="1:12" s="180" customFormat="1" ht="8.65" customHeight="1" x14ac:dyDescent="0.15">
      <c r="A568" s="187" t="s">
        <v>1226</v>
      </c>
      <c r="B568" s="187" t="s">
        <v>1130</v>
      </c>
      <c r="C568" s="187" t="s">
        <v>666</v>
      </c>
      <c r="D568" s="187" t="s">
        <v>1131</v>
      </c>
      <c r="E568" s="188">
        <v>3150505</v>
      </c>
      <c r="F568" s="188"/>
      <c r="G568" s="188"/>
      <c r="H568" s="226">
        <v>36000</v>
      </c>
      <c r="I568" s="227"/>
      <c r="J568" s="189">
        <f t="shared" si="52"/>
        <v>0</v>
      </c>
      <c r="K568" s="227" t="s">
        <v>1313</v>
      </c>
      <c r="L568" s="190" t="s">
        <v>551</v>
      </c>
    </row>
    <row r="569" spans="1:12" s="180" customFormat="1" ht="8.65" customHeight="1" x14ac:dyDescent="0.15">
      <c r="A569" s="187" t="s">
        <v>1226</v>
      </c>
      <c r="B569" s="187" t="s">
        <v>704</v>
      </c>
      <c r="C569" s="187" t="s">
        <v>683</v>
      </c>
      <c r="D569" s="187" t="s">
        <v>966</v>
      </c>
      <c r="E569" s="188">
        <v>3150505</v>
      </c>
      <c r="F569" s="188"/>
      <c r="G569" s="188"/>
      <c r="H569" s="226">
        <v>10000</v>
      </c>
      <c r="I569" s="227"/>
      <c r="J569" s="189">
        <f t="shared" si="52"/>
        <v>0</v>
      </c>
      <c r="K569" s="227" t="s">
        <v>1313</v>
      </c>
      <c r="L569" s="190" t="s">
        <v>551</v>
      </c>
    </row>
    <row r="570" spans="1:12" s="180" customFormat="1" ht="8.65" customHeight="1" x14ac:dyDescent="0.15">
      <c r="A570" s="187" t="s">
        <v>1226</v>
      </c>
      <c r="B570" s="187" t="s">
        <v>875</v>
      </c>
      <c r="C570" s="187" t="s">
        <v>683</v>
      </c>
      <c r="D570" s="187" t="s">
        <v>876</v>
      </c>
      <c r="E570" s="188">
        <v>3150505</v>
      </c>
      <c r="F570" s="188"/>
      <c r="G570" s="188"/>
      <c r="H570" s="226">
        <v>10000</v>
      </c>
      <c r="I570" s="227"/>
      <c r="J570" s="189">
        <f t="shared" si="52"/>
        <v>0</v>
      </c>
      <c r="K570" s="227" t="s">
        <v>1313</v>
      </c>
      <c r="L570" s="190" t="s">
        <v>551</v>
      </c>
    </row>
    <row r="571" spans="1:12" s="180" customFormat="1" ht="8.65" customHeight="1" x14ac:dyDescent="0.15">
      <c r="A571" s="187" t="s">
        <v>1226</v>
      </c>
      <c r="B571" s="187" t="s">
        <v>824</v>
      </c>
      <c r="C571" s="187" t="s">
        <v>683</v>
      </c>
      <c r="D571" s="187" t="s">
        <v>825</v>
      </c>
      <c r="E571" s="188">
        <v>3150505</v>
      </c>
      <c r="F571" s="188"/>
      <c r="G571" s="188"/>
      <c r="H571" s="226">
        <v>10000</v>
      </c>
      <c r="I571" s="227"/>
      <c r="J571" s="189">
        <f t="shared" si="52"/>
        <v>0</v>
      </c>
      <c r="K571" s="227" t="s">
        <v>1313</v>
      </c>
      <c r="L571" s="190" t="s">
        <v>551</v>
      </c>
    </row>
    <row r="572" spans="1:12" s="210" customFormat="1" ht="8.65" customHeight="1" x14ac:dyDescent="0.15">
      <c r="A572" s="187" t="s">
        <v>1226</v>
      </c>
      <c r="B572" s="187" t="s">
        <v>713</v>
      </c>
      <c r="C572" s="187" t="s">
        <v>714</v>
      </c>
      <c r="D572" s="187" t="s">
        <v>715</v>
      </c>
      <c r="E572" s="188">
        <v>3150505</v>
      </c>
      <c r="F572" s="188"/>
      <c r="G572" s="188"/>
      <c r="H572" s="188"/>
      <c r="I572" s="227"/>
      <c r="J572" s="228">
        <v>30000</v>
      </c>
      <c r="K572" s="228">
        <v>30000</v>
      </c>
      <c r="L572" s="190" t="s">
        <v>551</v>
      </c>
    </row>
    <row r="573" spans="1:12" s="180" customFormat="1" ht="8.65" customHeight="1" x14ac:dyDescent="0.15">
      <c r="A573" s="187" t="s">
        <v>1226</v>
      </c>
      <c r="B573" s="187" t="s">
        <v>1271</v>
      </c>
      <c r="C573" s="187" t="s">
        <v>714</v>
      </c>
      <c r="D573" s="187" t="s">
        <v>1272</v>
      </c>
      <c r="E573" s="188">
        <v>3150505</v>
      </c>
      <c r="F573" s="188"/>
      <c r="G573" s="188"/>
      <c r="H573" s="188"/>
      <c r="I573" s="227"/>
      <c r="J573" s="228">
        <v>20000</v>
      </c>
      <c r="K573" s="228">
        <v>20000</v>
      </c>
      <c r="L573" s="190" t="s">
        <v>551</v>
      </c>
    </row>
    <row r="574" spans="1:12" s="180" customFormat="1" ht="8.65" customHeight="1" x14ac:dyDescent="0.15">
      <c r="A574" s="187" t="s">
        <v>1226</v>
      </c>
      <c r="B574" s="187" t="s">
        <v>858</v>
      </c>
      <c r="C574" s="187" t="s">
        <v>683</v>
      </c>
      <c r="D574" s="187" t="s">
        <v>859</v>
      </c>
      <c r="E574" s="188">
        <v>3150505</v>
      </c>
      <c r="F574" s="188"/>
      <c r="G574" s="188"/>
      <c r="H574" s="226">
        <v>10000</v>
      </c>
      <c r="I574" s="227"/>
      <c r="J574" s="189">
        <f>10000-H574</f>
        <v>0</v>
      </c>
      <c r="K574" s="227" t="s">
        <v>1313</v>
      </c>
      <c r="L574" s="190" t="s">
        <v>551</v>
      </c>
    </row>
    <row r="575" spans="1:12" s="180" customFormat="1" ht="8.65" customHeight="1" x14ac:dyDescent="0.15">
      <c r="A575" s="187" t="s">
        <v>1226</v>
      </c>
      <c r="B575" s="187" t="s">
        <v>1281</v>
      </c>
      <c r="C575" s="187" t="s">
        <v>714</v>
      </c>
      <c r="D575" s="187" t="s">
        <v>1282</v>
      </c>
      <c r="E575" s="188">
        <v>3150505</v>
      </c>
      <c r="F575" s="188"/>
      <c r="G575" s="188"/>
      <c r="H575" s="188"/>
      <c r="I575" s="227"/>
      <c r="J575" s="228">
        <v>66000</v>
      </c>
      <c r="K575" s="228">
        <v>66000</v>
      </c>
      <c r="L575" s="190" t="s">
        <v>551</v>
      </c>
    </row>
    <row r="576" spans="1:12" s="180" customFormat="1" ht="8.65" customHeight="1" x14ac:dyDescent="0.15">
      <c r="A576" s="187" t="s">
        <v>1226</v>
      </c>
      <c r="B576" s="187" t="s">
        <v>719</v>
      </c>
      <c r="C576" s="187" t="s">
        <v>720</v>
      </c>
      <c r="D576" s="187" t="s">
        <v>1327</v>
      </c>
      <c r="E576" s="188">
        <v>3150505</v>
      </c>
      <c r="F576" s="188"/>
      <c r="G576" s="188"/>
      <c r="H576" s="226">
        <v>12000</v>
      </c>
      <c r="I576" s="227"/>
      <c r="J576" s="189">
        <f>12000-H$576</f>
        <v>0</v>
      </c>
      <c r="K576" s="227" t="s">
        <v>1313</v>
      </c>
      <c r="L576" s="190" t="s">
        <v>551</v>
      </c>
    </row>
    <row r="577" spans="1:12" s="180" customFormat="1" ht="8.65" customHeight="1" x14ac:dyDescent="0.15">
      <c r="A577" s="187" t="s">
        <v>1226</v>
      </c>
      <c r="B577" s="187" t="s">
        <v>722</v>
      </c>
      <c r="C577" s="187" t="s">
        <v>720</v>
      </c>
      <c r="D577" s="187" t="s">
        <v>723</v>
      </c>
      <c r="E577" s="188">
        <v>3150505</v>
      </c>
      <c r="F577" s="188"/>
      <c r="G577" s="188"/>
      <c r="H577" s="226">
        <v>6000</v>
      </c>
      <c r="I577" s="227"/>
      <c r="J577" s="189">
        <f t="shared" ref="J577:J579" si="53">12000-H$576</f>
        <v>0</v>
      </c>
      <c r="K577" s="227" t="s">
        <v>1313</v>
      </c>
      <c r="L577" s="190" t="s">
        <v>551</v>
      </c>
    </row>
    <row r="578" spans="1:12" s="180" customFormat="1" ht="8.65" customHeight="1" x14ac:dyDescent="0.15">
      <c r="A578" s="187" t="s">
        <v>1226</v>
      </c>
      <c r="B578" s="187" t="s">
        <v>724</v>
      </c>
      <c r="C578" s="187" t="s">
        <v>707</v>
      </c>
      <c r="D578" s="187" t="s">
        <v>1283</v>
      </c>
      <c r="E578" s="188">
        <v>3150505</v>
      </c>
      <c r="F578" s="188"/>
      <c r="G578" s="188"/>
      <c r="H578" s="226">
        <v>50000</v>
      </c>
      <c r="I578" s="227"/>
      <c r="J578" s="189">
        <f t="shared" si="53"/>
        <v>0</v>
      </c>
      <c r="K578" s="227" t="s">
        <v>1313</v>
      </c>
      <c r="L578" s="190" t="s">
        <v>551</v>
      </c>
    </row>
    <row r="579" spans="1:12" s="180" customFormat="1" ht="8.65" customHeight="1" x14ac:dyDescent="0.15">
      <c r="A579" s="187" t="s">
        <v>1226</v>
      </c>
      <c r="B579" s="187" t="s">
        <v>758</v>
      </c>
      <c r="C579" s="187" t="s">
        <v>714</v>
      </c>
      <c r="D579" s="187" t="s">
        <v>759</v>
      </c>
      <c r="E579" s="188">
        <v>3150505</v>
      </c>
      <c r="F579" s="188"/>
      <c r="G579" s="188"/>
      <c r="H579" s="226">
        <v>420000</v>
      </c>
      <c r="I579" s="227"/>
      <c r="J579" s="189">
        <f t="shared" si="53"/>
        <v>0</v>
      </c>
      <c r="K579" s="227" t="s">
        <v>1313</v>
      </c>
      <c r="L579" s="190" t="s">
        <v>551</v>
      </c>
    </row>
    <row r="580" spans="1:12" s="180" customFormat="1" ht="8.65" customHeight="1" x14ac:dyDescent="0.15">
      <c r="A580" s="187" t="s">
        <v>1226</v>
      </c>
      <c r="B580" s="187" t="s">
        <v>1328</v>
      </c>
      <c r="C580" s="187" t="s">
        <v>714</v>
      </c>
      <c r="D580" s="187" t="s">
        <v>1329</v>
      </c>
      <c r="E580" s="188">
        <v>3150505</v>
      </c>
      <c r="F580" s="188"/>
      <c r="G580" s="188"/>
      <c r="H580" s="188"/>
      <c r="I580" s="227"/>
      <c r="J580" s="189">
        <v>205071</v>
      </c>
      <c r="K580" s="228">
        <v>205071</v>
      </c>
      <c r="L580" s="190" t="s">
        <v>551</v>
      </c>
    </row>
    <row r="581" spans="1:12" s="180" customFormat="1" ht="8.65" customHeight="1" x14ac:dyDescent="0.15">
      <c r="A581" s="187" t="s">
        <v>1226</v>
      </c>
      <c r="B581" s="187" t="s">
        <v>1330</v>
      </c>
      <c r="C581" s="187" t="s">
        <v>720</v>
      </c>
      <c r="D581" s="187" t="s">
        <v>1331</v>
      </c>
      <c r="E581" s="188">
        <v>3150505</v>
      </c>
      <c r="F581" s="188"/>
      <c r="G581" s="188"/>
      <c r="H581" s="226">
        <v>45000</v>
      </c>
      <c r="I581" s="227"/>
      <c r="J581" s="189">
        <f>45000-H$581</f>
        <v>0</v>
      </c>
      <c r="K581" s="227" t="s">
        <v>1313</v>
      </c>
      <c r="L581" s="190" t="s">
        <v>551</v>
      </c>
    </row>
    <row r="582" spans="1:12" s="180" customFormat="1" ht="8.65" customHeight="1" x14ac:dyDescent="0.15">
      <c r="A582" s="187" t="s">
        <v>1226</v>
      </c>
      <c r="B582" s="187" t="s">
        <v>1332</v>
      </c>
      <c r="C582" s="187" t="s">
        <v>673</v>
      </c>
      <c r="D582" s="187" t="s">
        <v>1333</v>
      </c>
      <c r="E582" s="188">
        <v>3150505</v>
      </c>
      <c r="F582" s="188"/>
      <c r="G582" s="188"/>
      <c r="H582" s="226">
        <v>50000</v>
      </c>
      <c r="I582" s="227"/>
      <c r="J582" s="189">
        <f>45000-H$581</f>
        <v>0</v>
      </c>
      <c r="K582" s="227" t="s">
        <v>1313</v>
      </c>
      <c r="L582" s="190" t="s">
        <v>551</v>
      </c>
    </row>
    <row r="583" spans="1:12" s="180" customFormat="1" ht="10.15" customHeight="1" x14ac:dyDescent="0.15">
      <c r="A583" s="270" t="s">
        <v>189</v>
      </c>
      <c r="B583" s="270"/>
      <c r="C583" s="270"/>
      <c r="D583" s="270"/>
      <c r="E583" s="270"/>
      <c r="F583" s="270"/>
      <c r="G583" s="191"/>
      <c r="H583" s="191"/>
      <c r="I583" s="192"/>
      <c r="J583" s="192">
        <f>SUM(J536:J582)</f>
        <v>863418</v>
      </c>
      <c r="K583" s="192">
        <f>SUM(K536:K582)</f>
        <v>863418</v>
      </c>
      <c r="L583" s="201"/>
    </row>
    <row r="584" spans="1:12" s="180" customFormat="1" ht="7.15" customHeight="1" x14ac:dyDescent="0.2">
      <c r="A584" s="197"/>
      <c r="B584" s="197"/>
      <c r="C584" s="197"/>
      <c r="D584" s="197"/>
      <c r="E584" s="197"/>
      <c r="F584" s="197"/>
      <c r="G584" s="197"/>
      <c r="H584" s="198"/>
      <c r="I584" s="199"/>
      <c r="J584" s="199"/>
      <c r="K584" s="199"/>
      <c r="L584" s="197"/>
    </row>
    <row r="585" spans="1:12" s="180" customFormat="1" ht="8.65" customHeight="1" x14ac:dyDescent="0.15">
      <c r="A585" s="187" t="s">
        <v>1226</v>
      </c>
      <c r="B585" s="187" t="s">
        <v>1334</v>
      </c>
      <c r="C585" s="187" t="s">
        <v>717</v>
      </c>
      <c r="D585" s="187" t="s">
        <v>1335</v>
      </c>
      <c r="E585" s="187" t="s">
        <v>192</v>
      </c>
      <c r="F585" s="187" t="s">
        <v>193</v>
      </c>
      <c r="G585" s="18"/>
      <c r="H585" s="18">
        <v>50000</v>
      </c>
      <c r="I585" s="189"/>
      <c r="J585" s="189">
        <f>50000-H$585</f>
        <v>0</v>
      </c>
      <c r="K585" s="189">
        <f>+J585-I$585</f>
        <v>0</v>
      </c>
      <c r="L585" s="190" t="s">
        <v>551</v>
      </c>
    </row>
    <row r="586" spans="1:12" s="180" customFormat="1" ht="8.65" customHeight="1" x14ac:dyDescent="0.15">
      <c r="A586" s="187" t="s">
        <v>1226</v>
      </c>
      <c r="B586" s="187" t="s">
        <v>665</v>
      </c>
      <c r="C586" s="187" t="s">
        <v>666</v>
      </c>
      <c r="D586" s="187" t="s">
        <v>667</v>
      </c>
      <c r="E586" s="187" t="s">
        <v>192</v>
      </c>
      <c r="F586" s="188"/>
      <c r="G586" s="18"/>
      <c r="H586" s="18">
        <v>250000</v>
      </c>
      <c r="I586" s="189"/>
      <c r="J586" s="189">
        <f t="shared" ref="J586:J590" si="54">50000-H$585</f>
        <v>0</v>
      </c>
      <c r="K586" s="189">
        <f t="shared" ref="K586:K590" si="55">+J586-I$585</f>
        <v>0</v>
      </c>
      <c r="L586" s="190" t="s">
        <v>551</v>
      </c>
    </row>
    <row r="587" spans="1:12" s="180" customFormat="1" ht="8.65" customHeight="1" x14ac:dyDescent="0.15">
      <c r="A587" s="187" t="s">
        <v>1226</v>
      </c>
      <c r="B587" s="187" t="s">
        <v>764</v>
      </c>
      <c r="C587" s="187" t="s">
        <v>666</v>
      </c>
      <c r="D587" s="187" t="s">
        <v>765</v>
      </c>
      <c r="E587" s="187" t="s">
        <v>192</v>
      </c>
      <c r="F587" s="188"/>
      <c r="G587" s="18"/>
      <c r="H587" s="18">
        <v>6000</v>
      </c>
      <c r="I587" s="189"/>
      <c r="J587" s="189">
        <f t="shared" si="54"/>
        <v>0</v>
      </c>
      <c r="K587" s="189">
        <f t="shared" si="55"/>
        <v>0</v>
      </c>
      <c r="L587" s="190" t="s">
        <v>551</v>
      </c>
    </row>
    <row r="588" spans="1:12" s="180" customFormat="1" ht="8.65" customHeight="1" x14ac:dyDescent="0.15">
      <c r="A588" s="187" t="s">
        <v>1226</v>
      </c>
      <c r="B588" s="187" t="s">
        <v>1336</v>
      </c>
      <c r="C588" s="187" t="s">
        <v>666</v>
      </c>
      <c r="D588" s="187" t="s">
        <v>1337</v>
      </c>
      <c r="E588" s="187" t="s">
        <v>192</v>
      </c>
      <c r="F588" s="188"/>
      <c r="G588" s="18"/>
      <c r="H588" s="18">
        <v>22500</v>
      </c>
      <c r="I588" s="189"/>
      <c r="J588" s="189">
        <f t="shared" si="54"/>
        <v>0</v>
      </c>
      <c r="K588" s="189">
        <f t="shared" si="55"/>
        <v>0</v>
      </c>
      <c r="L588" s="190" t="s">
        <v>551</v>
      </c>
    </row>
    <row r="589" spans="1:12" s="180" customFormat="1" ht="8.65" customHeight="1" x14ac:dyDescent="0.15">
      <c r="A589" s="187" t="s">
        <v>1226</v>
      </c>
      <c r="B589" s="187" t="s">
        <v>1338</v>
      </c>
      <c r="C589" s="187" t="s">
        <v>666</v>
      </c>
      <c r="D589" s="187" t="s">
        <v>1339</v>
      </c>
      <c r="E589" s="187" t="s">
        <v>192</v>
      </c>
      <c r="F589" s="188"/>
      <c r="G589" s="18"/>
      <c r="H589" s="18">
        <v>19000</v>
      </c>
      <c r="I589" s="189"/>
      <c r="J589" s="189">
        <f t="shared" si="54"/>
        <v>0</v>
      </c>
      <c r="K589" s="189">
        <f t="shared" si="55"/>
        <v>0</v>
      </c>
      <c r="L589" s="190" t="s">
        <v>551</v>
      </c>
    </row>
    <row r="590" spans="1:12" s="180" customFormat="1" ht="8.65" customHeight="1" x14ac:dyDescent="0.15">
      <c r="A590" s="187" t="s">
        <v>1226</v>
      </c>
      <c r="B590" s="187" t="s">
        <v>730</v>
      </c>
      <c r="C590" s="187" t="s">
        <v>666</v>
      </c>
      <c r="D590" s="187" t="s">
        <v>1340</v>
      </c>
      <c r="E590" s="187" t="s">
        <v>192</v>
      </c>
      <c r="F590" s="188"/>
      <c r="G590" s="18"/>
      <c r="H590" s="18">
        <v>360000</v>
      </c>
      <c r="I590" s="189"/>
      <c r="J590" s="189">
        <f t="shared" si="54"/>
        <v>0</v>
      </c>
      <c r="K590" s="189">
        <f t="shared" si="55"/>
        <v>0</v>
      </c>
      <c r="L590" s="190" t="s">
        <v>551</v>
      </c>
    </row>
    <row r="591" spans="1:12" s="180" customFormat="1" ht="8.65" customHeight="1" x14ac:dyDescent="0.15">
      <c r="A591" s="187" t="s">
        <v>1226</v>
      </c>
      <c r="B591" s="187" t="s">
        <v>732</v>
      </c>
      <c r="C591" s="187" t="s">
        <v>666</v>
      </c>
      <c r="D591" s="187" t="s">
        <v>733</v>
      </c>
      <c r="E591" s="187" t="s">
        <v>192</v>
      </c>
      <c r="F591" s="188"/>
      <c r="G591" s="18"/>
      <c r="H591" s="18">
        <v>988093</v>
      </c>
      <c r="I591" s="189"/>
      <c r="J591" s="189">
        <f>1500000-H591</f>
        <v>511907</v>
      </c>
      <c r="K591" s="189">
        <f>+J591-I591</f>
        <v>511907</v>
      </c>
      <c r="L591" s="190" t="s">
        <v>551</v>
      </c>
    </row>
    <row r="592" spans="1:12" s="180" customFormat="1" ht="8.65" customHeight="1" x14ac:dyDescent="0.15">
      <c r="A592" s="187" t="s">
        <v>1226</v>
      </c>
      <c r="B592" s="187" t="s">
        <v>1341</v>
      </c>
      <c r="C592" s="187" t="s">
        <v>666</v>
      </c>
      <c r="D592" s="187" t="s">
        <v>1342</v>
      </c>
      <c r="E592" s="187" t="s">
        <v>192</v>
      </c>
      <c r="F592" s="188"/>
      <c r="G592" s="18"/>
      <c r="H592" s="18">
        <v>4500</v>
      </c>
      <c r="I592" s="189"/>
      <c r="J592" s="189">
        <f>4500-H$592</f>
        <v>0</v>
      </c>
      <c r="K592" s="189">
        <f>+J592-I$592</f>
        <v>0</v>
      </c>
      <c r="L592" s="190" t="s">
        <v>551</v>
      </c>
    </row>
    <row r="593" spans="1:12" s="180" customFormat="1" ht="8.65" customHeight="1" x14ac:dyDescent="0.15">
      <c r="A593" s="187" t="s">
        <v>1226</v>
      </c>
      <c r="B593" s="187" t="s">
        <v>1343</v>
      </c>
      <c r="C593" s="187" t="s">
        <v>1344</v>
      </c>
      <c r="D593" s="187" t="s">
        <v>1345</v>
      </c>
      <c r="E593" s="187" t="s">
        <v>192</v>
      </c>
      <c r="F593" s="188"/>
      <c r="G593" s="18"/>
      <c r="H593" s="18">
        <v>30000</v>
      </c>
      <c r="I593" s="189"/>
      <c r="J593" s="189">
        <f t="shared" ref="J593:J596" si="56">4500-H$592</f>
        <v>0</v>
      </c>
      <c r="K593" s="189">
        <f t="shared" ref="K593:K596" si="57">+J593-I$592</f>
        <v>0</v>
      </c>
      <c r="L593" s="190" t="s">
        <v>551</v>
      </c>
    </row>
    <row r="594" spans="1:12" s="180" customFormat="1" ht="8.65" customHeight="1" x14ac:dyDescent="0.15">
      <c r="A594" s="187" t="s">
        <v>1226</v>
      </c>
      <c r="B594" s="187" t="s">
        <v>1027</v>
      </c>
      <c r="C594" s="187" t="s">
        <v>717</v>
      </c>
      <c r="D594" s="187" t="s">
        <v>1346</v>
      </c>
      <c r="E594" s="187" t="s">
        <v>192</v>
      </c>
      <c r="F594" s="188"/>
      <c r="G594" s="18"/>
      <c r="H594" s="18">
        <v>100000</v>
      </c>
      <c r="I594" s="189"/>
      <c r="J594" s="189">
        <f t="shared" si="56"/>
        <v>0</v>
      </c>
      <c r="K594" s="189">
        <f t="shared" si="57"/>
        <v>0</v>
      </c>
      <c r="L594" s="190" t="s">
        <v>551</v>
      </c>
    </row>
    <row r="595" spans="1:12" s="180" customFormat="1" ht="8.65" customHeight="1" x14ac:dyDescent="0.15">
      <c r="A595" s="187" t="s">
        <v>1226</v>
      </c>
      <c r="B595" s="187" t="s">
        <v>1347</v>
      </c>
      <c r="C595" s="187" t="s">
        <v>942</v>
      </c>
      <c r="D595" s="187" t="s">
        <v>1348</v>
      </c>
      <c r="E595" s="187" t="s">
        <v>192</v>
      </c>
      <c r="F595" s="188"/>
      <c r="G595" s="18"/>
      <c r="H595" s="18">
        <f>+J595</f>
        <v>0</v>
      </c>
      <c r="I595" s="189"/>
      <c r="J595" s="189">
        <f t="shared" si="56"/>
        <v>0</v>
      </c>
      <c r="K595" s="189">
        <f t="shared" si="57"/>
        <v>0</v>
      </c>
      <c r="L595" s="190" t="s">
        <v>551</v>
      </c>
    </row>
    <row r="596" spans="1:12" s="180" customFormat="1" ht="8.65" customHeight="1" x14ac:dyDescent="0.15">
      <c r="A596" s="187" t="s">
        <v>1226</v>
      </c>
      <c r="B596" s="187" t="s">
        <v>1349</v>
      </c>
      <c r="C596" s="187" t="s">
        <v>942</v>
      </c>
      <c r="D596" s="187" t="s">
        <v>1350</v>
      </c>
      <c r="E596" s="187" t="s">
        <v>192</v>
      </c>
      <c r="F596" s="188"/>
      <c r="G596" s="18"/>
      <c r="H596" s="18">
        <v>120000</v>
      </c>
      <c r="I596" s="189"/>
      <c r="J596" s="189">
        <f t="shared" si="56"/>
        <v>0</v>
      </c>
      <c r="K596" s="189">
        <f t="shared" si="57"/>
        <v>0</v>
      </c>
      <c r="L596" s="190" t="s">
        <v>551</v>
      </c>
    </row>
    <row r="597" spans="1:12" s="180" customFormat="1" ht="8.65" customHeight="1" x14ac:dyDescent="0.15">
      <c r="A597" s="187" t="s">
        <v>1226</v>
      </c>
      <c r="B597" s="187" t="s">
        <v>1351</v>
      </c>
      <c r="C597" s="187" t="s">
        <v>942</v>
      </c>
      <c r="D597" s="187" t="s">
        <v>1352</v>
      </c>
      <c r="E597" s="187" t="s">
        <v>192</v>
      </c>
      <c r="F597" s="188"/>
      <c r="G597" s="18"/>
      <c r="H597" s="18">
        <v>11688</v>
      </c>
      <c r="I597" s="189"/>
      <c r="J597" s="189">
        <f>500000-H597</f>
        <v>488312</v>
      </c>
      <c r="K597" s="189">
        <f>+J597-I597</f>
        <v>488312</v>
      </c>
      <c r="L597" s="190" t="s">
        <v>551</v>
      </c>
    </row>
    <row r="598" spans="1:12" s="180" customFormat="1" ht="8.65" customHeight="1" x14ac:dyDescent="0.15">
      <c r="A598" s="187" t="s">
        <v>1226</v>
      </c>
      <c r="B598" s="187" t="s">
        <v>1296</v>
      </c>
      <c r="C598" s="187" t="s">
        <v>942</v>
      </c>
      <c r="D598" s="187" t="s">
        <v>1297</v>
      </c>
      <c r="E598" s="187" t="s">
        <v>192</v>
      </c>
      <c r="F598" s="188"/>
      <c r="G598" s="18"/>
      <c r="H598" s="18">
        <v>700000</v>
      </c>
      <c r="I598" s="189"/>
      <c r="J598" s="189">
        <f>700000-H598</f>
        <v>0</v>
      </c>
      <c r="K598" s="189">
        <f>+J598-I598</f>
        <v>0</v>
      </c>
      <c r="L598" s="190" t="s">
        <v>551</v>
      </c>
    </row>
    <row r="599" spans="1:12" s="180" customFormat="1" ht="9" customHeight="1" x14ac:dyDescent="0.15">
      <c r="A599" s="187" t="s">
        <v>1226</v>
      </c>
      <c r="B599" s="187" t="s">
        <v>1353</v>
      </c>
      <c r="C599" s="187" t="s">
        <v>942</v>
      </c>
      <c r="D599" s="187" t="s">
        <v>1354</v>
      </c>
      <c r="E599" s="187" t="s">
        <v>192</v>
      </c>
      <c r="F599" s="188"/>
      <c r="G599" s="18"/>
      <c r="H599" s="18"/>
      <c r="I599" s="189"/>
      <c r="J599" s="189">
        <v>480000</v>
      </c>
      <c r="K599" s="189">
        <f t="shared" ref="K599:K628" si="58">+J599-H599</f>
        <v>480000</v>
      </c>
      <c r="L599" s="190" t="s">
        <v>551</v>
      </c>
    </row>
    <row r="600" spans="1:12" s="180" customFormat="1" ht="9" customHeight="1" x14ac:dyDescent="0.15">
      <c r="A600" s="187" t="s">
        <v>1226</v>
      </c>
      <c r="B600" s="187" t="s">
        <v>1298</v>
      </c>
      <c r="C600" s="187" t="s">
        <v>666</v>
      </c>
      <c r="D600" s="187" t="s">
        <v>1315</v>
      </c>
      <c r="E600" s="187" t="s">
        <v>192</v>
      </c>
      <c r="F600" s="188"/>
      <c r="G600" s="18"/>
      <c r="H600" s="18"/>
      <c r="I600" s="189"/>
      <c r="J600" s="189">
        <v>479020</v>
      </c>
      <c r="K600" s="189">
        <f t="shared" si="58"/>
        <v>479020</v>
      </c>
      <c r="L600" s="190" t="s">
        <v>551</v>
      </c>
    </row>
    <row r="601" spans="1:12" s="180" customFormat="1" ht="9" customHeight="1" x14ac:dyDescent="0.15">
      <c r="A601" s="187" t="s">
        <v>1226</v>
      </c>
      <c r="B601" s="187"/>
      <c r="C601" s="187" t="s">
        <v>714</v>
      </c>
      <c r="D601" s="187" t="s">
        <v>1255</v>
      </c>
      <c r="E601" s="187" t="s">
        <v>192</v>
      </c>
      <c r="F601" s="188"/>
      <c r="G601" s="18"/>
      <c r="H601" s="18"/>
      <c r="I601" s="189"/>
      <c r="J601" s="189">
        <v>50000</v>
      </c>
      <c r="K601" s="189">
        <f t="shared" si="58"/>
        <v>50000</v>
      </c>
      <c r="L601" s="190" t="s">
        <v>551</v>
      </c>
    </row>
    <row r="602" spans="1:12" s="180" customFormat="1" ht="8.65" customHeight="1" x14ac:dyDescent="0.15">
      <c r="A602" s="187" t="s">
        <v>1226</v>
      </c>
      <c r="B602" s="187" t="s">
        <v>1355</v>
      </c>
      <c r="C602" s="187" t="s">
        <v>714</v>
      </c>
      <c r="D602" s="187" t="s">
        <v>1356</v>
      </c>
      <c r="E602" s="187" t="s">
        <v>192</v>
      </c>
      <c r="F602" s="188"/>
      <c r="G602" s="18"/>
      <c r="H602" s="18">
        <v>168000</v>
      </c>
      <c r="I602" s="189"/>
      <c r="J602" s="189">
        <f>168000-H602</f>
        <v>0</v>
      </c>
      <c r="K602" s="189">
        <f>+J602-I602</f>
        <v>0</v>
      </c>
      <c r="L602" s="190" t="s">
        <v>551</v>
      </c>
    </row>
    <row r="603" spans="1:12" s="180" customFormat="1" ht="8.65" customHeight="1" x14ac:dyDescent="0.15">
      <c r="A603" s="187" t="s">
        <v>1226</v>
      </c>
      <c r="B603" s="187" t="s">
        <v>1357</v>
      </c>
      <c r="C603" s="187" t="s">
        <v>925</v>
      </c>
      <c r="D603" s="187" t="s">
        <v>1358</v>
      </c>
      <c r="E603" s="187" t="s">
        <v>192</v>
      </c>
      <c r="F603" s="188"/>
      <c r="G603" s="18"/>
      <c r="H603" s="18"/>
      <c r="I603" s="189"/>
      <c r="J603" s="189">
        <v>4000</v>
      </c>
      <c r="K603" s="189">
        <f t="shared" si="58"/>
        <v>4000</v>
      </c>
      <c r="L603" s="190" t="s">
        <v>551</v>
      </c>
    </row>
    <row r="604" spans="1:12" s="180" customFormat="1" ht="8.65" customHeight="1" x14ac:dyDescent="0.15">
      <c r="A604" s="187" t="s">
        <v>1226</v>
      </c>
      <c r="B604" s="187" t="s">
        <v>1359</v>
      </c>
      <c r="C604" s="187" t="s">
        <v>925</v>
      </c>
      <c r="D604" s="187" t="s">
        <v>1360</v>
      </c>
      <c r="E604" s="187" t="s">
        <v>192</v>
      </c>
      <c r="F604" s="188"/>
      <c r="G604" s="18"/>
      <c r="H604" s="18"/>
      <c r="I604" s="189"/>
      <c r="J604" s="189">
        <v>10000</v>
      </c>
      <c r="K604" s="189">
        <f t="shared" si="58"/>
        <v>10000</v>
      </c>
      <c r="L604" s="190" t="s">
        <v>551</v>
      </c>
    </row>
    <row r="605" spans="1:12" s="180" customFormat="1" ht="8.65" customHeight="1" x14ac:dyDescent="0.15">
      <c r="A605" s="187" t="s">
        <v>1226</v>
      </c>
      <c r="B605" s="187" t="s">
        <v>696</v>
      </c>
      <c r="C605" s="187" t="s">
        <v>694</v>
      </c>
      <c r="D605" s="187" t="s">
        <v>697</v>
      </c>
      <c r="E605" s="187" t="s">
        <v>192</v>
      </c>
      <c r="F605" s="188"/>
      <c r="G605" s="18"/>
      <c r="H605" s="18">
        <v>19090</v>
      </c>
      <c r="I605" s="189"/>
      <c r="J605" s="189">
        <f>30000-H605</f>
        <v>10910</v>
      </c>
      <c r="K605" s="189">
        <f>+J605-I605</f>
        <v>10910</v>
      </c>
      <c r="L605" s="190" t="s">
        <v>551</v>
      </c>
    </row>
    <row r="606" spans="1:12" s="180" customFormat="1" ht="8.65" customHeight="1" x14ac:dyDescent="0.15">
      <c r="A606" s="187" t="s">
        <v>1226</v>
      </c>
      <c r="B606" s="187" t="s">
        <v>1361</v>
      </c>
      <c r="C606" s="187" t="s">
        <v>864</v>
      </c>
      <c r="D606" s="187" t="s">
        <v>1362</v>
      </c>
      <c r="E606" s="187" t="s">
        <v>192</v>
      </c>
      <c r="F606" s="188"/>
      <c r="G606" s="18"/>
      <c r="H606" s="18">
        <v>12610</v>
      </c>
      <c r="I606" s="189"/>
      <c r="J606" s="189">
        <f>50000-H606</f>
        <v>37390</v>
      </c>
      <c r="K606" s="189">
        <f>+J606-I606</f>
        <v>37390</v>
      </c>
      <c r="L606" s="190" t="s">
        <v>551</v>
      </c>
    </row>
    <row r="607" spans="1:12" s="180" customFormat="1" ht="8.65" customHeight="1" x14ac:dyDescent="0.15">
      <c r="A607" s="187" t="s">
        <v>1226</v>
      </c>
      <c r="B607" s="187" t="s">
        <v>1363</v>
      </c>
      <c r="C607" s="187" t="s">
        <v>683</v>
      </c>
      <c r="D607" s="187" t="s">
        <v>1364</v>
      </c>
      <c r="E607" s="187" t="s">
        <v>192</v>
      </c>
      <c r="F607" s="188"/>
      <c r="G607" s="18"/>
      <c r="H607" s="18">
        <v>600000</v>
      </c>
      <c r="I607" s="189"/>
      <c r="J607" s="189">
        <f>800000-H607</f>
        <v>200000</v>
      </c>
      <c r="K607" s="189">
        <f>+J607-I607</f>
        <v>200000</v>
      </c>
      <c r="L607" s="190" t="s">
        <v>551</v>
      </c>
    </row>
    <row r="608" spans="1:12" s="180" customFormat="1" ht="8.65" customHeight="1" x14ac:dyDescent="0.15">
      <c r="A608" s="187" t="s">
        <v>1226</v>
      </c>
      <c r="B608" s="187" t="s">
        <v>1365</v>
      </c>
      <c r="C608" s="187" t="s">
        <v>683</v>
      </c>
      <c r="D608" s="187" t="s">
        <v>1366</v>
      </c>
      <c r="E608" s="187" t="s">
        <v>192</v>
      </c>
      <c r="F608" s="188"/>
      <c r="G608" s="18"/>
      <c r="H608" s="18">
        <v>700000</v>
      </c>
      <c r="I608" s="189"/>
      <c r="J608" s="189">
        <f>800000-H608</f>
        <v>100000</v>
      </c>
      <c r="K608" s="189">
        <f>+J608-I608</f>
        <v>100000</v>
      </c>
      <c r="L608" s="190" t="s">
        <v>551</v>
      </c>
    </row>
    <row r="609" spans="1:12" s="180" customFormat="1" ht="8.65" customHeight="1" x14ac:dyDescent="0.15">
      <c r="A609" s="187" t="s">
        <v>1226</v>
      </c>
      <c r="B609" s="187" t="s">
        <v>742</v>
      </c>
      <c r="C609" s="187" t="s">
        <v>683</v>
      </c>
      <c r="D609" s="187" t="s">
        <v>1367</v>
      </c>
      <c r="E609" s="187" t="s">
        <v>192</v>
      </c>
      <c r="F609" s="188"/>
      <c r="G609" s="18"/>
      <c r="H609" s="18">
        <v>700000</v>
      </c>
      <c r="I609" s="189"/>
      <c r="J609" s="189">
        <f>700000-H$609</f>
        <v>0</v>
      </c>
      <c r="K609" s="189">
        <f>+J609-I$609</f>
        <v>0</v>
      </c>
      <c r="L609" s="190" t="s">
        <v>551</v>
      </c>
    </row>
    <row r="610" spans="1:12" s="180" customFormat="1" ht="8.65" customHeight="1" x14ac:dyDescent="0.15">
      <c r="A610" s="187" t="s">
        <v>1226</v>
      </c>
      <c r="B610" s="187" t="s">
        <v>744</v>
      </c>
      <c r="C610" s="187" t="s">
        <v>683</v>
      </c>
      <c r="D610" s="187" t="s">
        <v>745</v>
      </c>
      <c r="E610" s="187" t="s">
        <v>192</v>
      </c>
      <c r="F610" s="188"/>
      <c r="G610" s="18"/>
      <c r="H610" s="18">
        <v>4000</v>
      </c>
      <c r="I610" s="189"/>
      <c r="J610" s="189">
        <f t="shared" ref="J610:J616" si="59">700000-H$609</f>
        <v>0</v>
      </c>
      <c r="K610" s="189">
        <f t="shared" ref="K610:K616" si="60">+J610-I$609</f>
        <v>0</v>
      </c>
      <c r="L610" s="190" t="s">
        <v>551</v>
      </c>
    </row>
    <row r="611" spans="1:12" s="180" customFormat="1" ht="8.65" customHeight="1" x14ac:dyDescent="0.15">
      <c r="A611" s="187" t="s">
        <v>1226</v>
      </c>
      <c r="B611" s="187" t="s">
        <v>852</v>
      </c>
      <c r="C611" s="187" t="s">
        <v>683</v>
      </c>
      <c r="D611" s="187" t="s">
        <v>1368</v>
      </c>
      <c r="E611" s="187" t="s">
        <v>192</v>
      </c>
      <c r="F611" s="188"/>
      <c r="G611" s="18"/>
      <c r="H611" s="18">
        <v>4000</v>
      </c>
      <c r="I611" s="189"/>
      <c r="J611" s="189">
        <f t="shared" si="59"/>
        <v>0</v>
      </c>
      <c r="K611" s="189">
        <f t="shared" si="60"/>
        <v>0</v>
      </c>
      <c r="L611" s="190" t="s">
        <v>551</v>
      </c>
    </row>
    <row r="612" spans="1:12" s="180" customFormat="1" ht="8.65" customHeight="1" x14ac:dyDescent="0.15">
      <c r="A612" s="187" t="s">
        <v>1226</v>
      </c>
      <c r="B612" s="187" t="s">
        <v>813</v>
      </c>
      <c r="C612" s="187" t="s">
        <v>666</v>
      </c>
      <c r="D612" s="187" t="s">
        <v>1369</v>
      </c>
      <c r="E612" s="187" t="s">
        <v>192</v>
      </c>
      <c r="F612" s="188"/>
      <c r="G612" s="18"/>
      <c r="H612" s="18">
        <v>3900</v>
      </c>
      <c r="I612" s="189"/>
      <c r="J612" s="189">
        <f t="shared" si="59"/>
        <v>0</v>
      </c>
      <c r="K612" s="189">
        <f t="shared" si="60"/>
        <v>0</v>
      </c>
      <c r="L612" s="190" t="s">
        <v>551</v>
      </c>
    </row>
    <row r="613" spans="1:12" s="180" customFormat="1" ht="8.65" customHeight="1" x14ac:dyDescent="0.15">
      <c r="A613" s="187" t="s">
        <v>1226</v>
      </c>
      <c r="B613" s="187" t="s">
        <v>1370</v>
      </c>
      <c r="C613" s="187" t="s">
        <v>676</v>
      </c>
      <c r="D613" s="187" t="s">
        <v>1371</v>
      </c>
      <c r="E613" s="187" t="s">
        <v>192</v>
      </c>
      <c r="F613" s="188"/>
      <c r="G613" s="18"/>
      <c r="H613" s="18">
        <v>580000</v>
      </c>
      <c r="I613" s="189"/>
      <c r="J613" s="189">
        <f t="shared" si="59"/>
        <v>0</v>
      </c>
      <c r="K613" s="189">
        <f t="shared" si="60"/>
        <v>0</v>
      </c>
      <c r="L613" s="190" t="s">
        <v>551</v>
      </c>
    </row>
    <row r="614" spans="1:12" s="180" customFormat="1" ht="8.65" customHeight="1" x14ac:dyDescent="0.15">
      <c r="A614" s="187" t="s">
        <v>1226</v>
      </c>
      <c r="B614" s="187" t="s">
        <v>1372</v>
      </c>
      <c r="C614" s="187" t="s">
        <v>707</v>
      </c>
      <c r="D614" s="187" t="s">
        <v>1373</v>
      </c>
      <c r="E614" s="187" t="s">
        <v>192</v>
      </c>
      <c r="F614" s="188"/>
      <c r="G614" s="18"/>
      <c r="H614" s="18">
        <v>73020</v>
      </c>
      <c r="I614" s="189"/>
      <c r="J614" s="189">
        <f t="shared" si="59"/>
        <v>0</v>
      </c>
      <c r="K614" s="189">
        <f t="shared" si="60"/>
        <v>0</v>
      </c>
      <c r="L614" s="190" t="s">
        <v>551</v>
      </c>
    </row>
    <row r="615" spans="1:12" s="180" customFormat="1" ht="8.65" customHeight="1" x14ac:dyDescent="0.15">
      <c r="A615" s="187" t="s">
        <v>1226</v>
      </c>
      <c r="B615" s="187" t="s">
        <v>1374</v>
      </c>
      <c r="C615" s="187" t="s">
        <v>1269</v>
      </c>
      <c r="D615" s="187" t="s">
        <v>1375</v>
      </c>
      <c r="E615" s="187" t="s">
        <v>192</v>
      </c>
      <c r="F615" s="188"/>
      <c r="G615" s="18"/>
      <c r="H615" s="18">
        <v>50000</v>
      </c>
      <c r="I615" s="189"/>
      <c r="J615" s="189">
        <f t="shared" si="59"/>
        <v>0</v>
      </c>
      <c r="K615" s="189">
        <f t="shared" si="60"/>
        <v>0</v>
      </c>
      <c r="L615" s="190" t="s">
        <v>551</v>
      </c>
    </row>
    <row r="616" spans="1:12" s="180" customFormat="1" ht="8.65" customHeight="1" x14ac:dyDescent="0.15">
      <c r="A616" s="187" t="s">
        <v>1226</v>
      </c>
      <c r="B616" s="187" t="s">
        <v>929</v>
      </c>
      <c r="C616" s="187" t="s">
        <v>673</v>
      </c>
      <c r="D616" s="187" t="s">
        <v>930</v>
      </c>
      <c r="E616" s="187" t="s">
        <v>192</v>
      </c>
      <c r="F616" s="188"/>
      <c r="G616" s="18"/>
      <c r="H616" s="18">
        <v>120000</v>
      </c>
      <c r="I616" s="189"/>
      <c r="J616" s="189">
        <f t="shared" si="59"/>
        <v>0</v>
      </c>
      <c r="K616" s="189">
        <f t="shared" si="60"/>
        <v>0</v>
      </c>
      <c r="L616" s="190" t="s">
        <v>551</v>
      </c>
    </row>
    <row r="617" spans="1:12" s="180" customFormat="1" ht="8.65" customHeight="1" x14ac:dyDescent="0.15">
      <c r="A617" s="187" t="s">
        <v>1226</v>
      </c>
      <c r="B617" s="187" t="s">
        <v>713</v>
      </c>
      <c r="C617" s="187" t="s">
        <v>714</v>
      </c>
      <c r="D617" s="187" t="s">
        <v>715</v>
      </c>
      <c r="E617" s="187" t="s">
        <v>192</v>
      </c>
      <c r="F617" s="188"/>
      <c r="G617" s="18"/>
      <c r="H617" s="18"/>
      <c r="I617" s="189"/>
      <c r="J617" s="189">
        <v>60000</v>
      </c>
      <c r="K617" s="189">
        <f t="shared" si="58"/>
        <v>60000</v>
      </c>
      <c r="L617" s="190" t="s">
        <v>551</v>
      </c>
    </row>
    <row r="618" spans="1:12" s="180" customFormat="1" ht="8.65" customHeight="1" x14ac:dyDescent="0.15">
      <c r="A618" s="187" t="s">
        <v>1226</v>
      </c>
      <c r="B618" s="187" t="s">
        <v>1271</v>
      </c>
      <c r="C618" s="187" t="s">
        <v>714</v>
      </c>
      <c r="D618" s="187" t="s">
        <v>1272</v>
      </c>
      <c r="E618" s="187" t="s">
        <v>192</v>
      </c>
      <c r="F618" s="188"/>
      <c r="G618" s="18"/>
      <c r="H618" s="18"/>
      <c r="I618" s="189"/>
      <c r="J618" s="189">
        <v>37500</v>
      </c>
      <c r="K618" s="189">
        <f t="shared" si="58"/>
        <v>37500</v>
      </c>
      <c r="L618" s="190" t="s">
        <v>551</v>
      </c>
    </row>
    <row r="619" spans="1:12" s="180" customFormat="1" ht="8.65" customHeight="1" x14ac:dyDescent="0.15">
      <c r="A619" s="187" t="s">
        <v>1226</v>
      </c>
      <c r="B619" s="187" t="s">
        <v>1376</v>
      </c>
      <c r="C619" s="187" t="s">
        <v>714</v>
      </c>
      <c r="D619" s="187" t="s">
        <v>1377</v>
      </c>
      <c r="E619" s="187" t="s">
        <v>192</v>
      </c>
      <c r="F619" s="188"/>
      <c r="G619" s="18"/>
      <c r="H619" s="18"/>
      <c r="I619" s="189"/>
      <c r="J619" s="189">
        <v>90000</v>
      </c>
      <c r="K619" s="189">
        <f t="shared" si="58"/>
        <v>90000</v>
      </c>
      <c r="L619" s="190" t="s">
        <v>551</v>
      </c>
    </row>
    <row r="620" spans="1:12" s="180" customFormat="1" ht="8.65" customHeight="1" x14ac:dyDescent="0.15">
      <c r="A620" s="187" t="s">
        <v>1226</v>
      </c>
      <c r="B620" s="187" t="s">
        <v>1378</v>
      </c>
      <c r="C620" s="187" t="s">
        <v>714</v>
      </c>
      <c r="D620" s="187" t="s">
        <v>1379</v>
      </c>
      <c r="E620" s="187" t="s">
        <v>192</v>
      </c>
      <c r="F620" s="188"/>
      <c r="G620" s="18"/>
      <c r="H620" s="18">
        <v>50000</v>
      </c>
      <c r="I620" s="189"/>
      <c r="J620" s="189">
        <f>50000-H$620</f>
        <v>0</v>
      </c>
      <c r="K620" s="189">
        <f>+J620-I$620</f>
        <v>0</v>
      </c>
      <c r="L620" s="190" t="s">
        <v>551</v>
      </c>
    </row>
    <row r="621" spans="1:12" s="180" customFormat="1" ht="8.65" customHeight="1" x14ac:dyDescent="0.15">
      <c r="A621" s="187" t="s">
        <v>1226</v>
      </c>
      <c r="B621" s="187" t="s">
        <v>1380</v>
      </c>
      <c r="C621" s="187" t="s">
        <v>925</v>
      </c>
      <c r="D621" s="187" t="s">
        <v>1381</v>
      </c>
      <c r="E621" s="187" t="s">
        <v>192</v>
      </c>
      <c r="F621" s="188"/>
      <c r="G621" s="18"/>
      <c r="H621" s="18">
        <v>50000</v>
      </c>
      <c r="I621" s="189"/>
      <c r="J621" s="189">
        <f t="shared" ref="J621:J623" si="61">50000-H$620</f>
        <v>0</v>
      </c>
      <c r="K621" s="189">
        <f t="shared" ref="K621:K623" si="62">+J621-I$620</f>
        <v>0</v>
      </c>
      <c r="L621" s="190" t="s">
        <v>551</v>
      </c>
    </row>
    <row r="622" spans="1:12" s="180" customFormat="1" ht="8.65" customHeight="1" x14ac:dyDescent="0.15">
      <c r="A622" s="187" t="s">
        <v>1226</v>
      </c>
      <c r="B622" s="187" t="s">
        <v>724</v>
      </c>
      <c r="C622" s="187" t="s">
        <v>707</v>
      </c>
      <c r="D622" s="187" t="s">
        <v>1382</v>
      </c>
      <c r="E622" s="187" t="s">
        <v>192</v>
      </c>
      <c r="F622" s="188"/>
      <c r="G622" s="18"/>
      <c r="H622" s="18">
        <v>450000</v>
      </c>
      <c r="I622" s="189"/>
      <c r="J622" s="189">
        <f t="shared" si="61"/>
        <v>0</v>
      </c>
      <c r="K622" s="189">
        <f t="shared" si="62"/>
        <v>0</v>
      </c>
      <c r="L622" s="190" t="s">
        <v>551</v>
      </c>
    </row>
    <row r="623" spans="1:12" s="180" customFormat="1" ht="8.65" customHeight="1" x14ac:dyDescent="0.15">
      <c r="A623" s="187" t="s">
        <v>1226</v>
      </c>
      <c r="B623" s="187" t="s">
        <v>758</v>
      </c>
      <c r="C623" s="187" t="s">
        <v>714</v>
      </c>
      <c r="D623" s="187" t="s">
        <v>759</v>
      </c>
      <c r="E623" s="187" t="s">
        <v>192</v>
      </c>
      <c r="F623" s="188"/>
      <c r="G623" s="18"/>
      <c r="H623" s="18">
        <v>495144</v>
      </c>
      <c r="I623" s="189"/>
      <c r="J623" s="189">
        <f t="shared" si="61"/>
        <v>0</v>
      </c>
      <c r="K623" s="189">
        <f t="shared" si="62"/>
        <v>0</v>
      </c>
      <c r="L623" s="190" t="s">
        <v>551</v>
      </c>
    </row>
    <row r="624" spans="1:12" s="180" customFormat="1" ht="8.65" customHeight="1" x14ac:dyDescent="0.15">
      <c r="A624" s="187" t="s">
        <v>1226</v>
      </c>
      <c r="B624" s="187" t="s">
        <v>1328</v>
      </c>
      <c r="C624" s="187" t="s">
        <v>714</v>
      </c>
      <c r="D624" s="187" t="s">
        <v>1311</v>
      </c>
      <c r="E624" s="187" t="s">
        <v>192</v>
      </c>
      <c r="F624" s="188"/>
      <c r="G624" s="18">
        <v>228017</v>
      </c>
      <c r="H624" s="18"/>
      <c r="I624" s="189"/>
      <c r="J624" s="189">
        <f>26856+G624</f>
        <v>254873</v>
      </c>
      <c r="K624" s="189">
        <f>+J624-I624</f>
        <v>254873</v>
      </c>
      <c r="L624" s="190" t="s">
        <v>551</v>
      </c>
    </row>
    <row r="625" spans="1:12" s="180" customFormat="1" ht="8.65" customHeight="1" x14ac:dyDescent="0.15">
      <c r="A625" s="187" t="s">
        <v>1226</v>
      </c>
      <c r="B625" s="187" t="s">
        <v>1330</v>
      </c>
      <c r="C625" s="187" t="s">
        <v>720</v>
      </c>
      <c r="D625" s="187" t="s">
        <v>1331</v>
      </c>
      <c r="E625" s="187" t="s">
        <v>192</v>
      </c>
      <c r="F625" s="188"/>
      <c r="G625" s="18"/>
      <c r="H625" s="18">
        <v>60000</v>
      </c>
      <c r="I625" s="189"/>
      <c r="J625" s="189">
        <f>60000-H625</f>
        <v>0</v>
      </c>
      <c r="K625" s="189">
        <f>+J625-I625</f>
        <v>0</v>
      </c>
      <c r="L625" s="190" t="s">
        <v>551</v>
      </c>
    </row>
    <row r="626" spans="1:12" s="180" customFormat="1" ht="8.65" customHeight="1" x14ac:dyDescent="0.15">
      <c r="A626" s="187" t="s">
        <v>1226</v>
      </c>
      <c r="B626" s="187" t="s">
        <v>1383</v>
      </c>
      <c r="C626" s="187" t="s">
        <v>925</v>
      </c>
      <c r="D626" s="187" t="s">
        <v>1384</v>
      </c>
      <c r="E626" s="187" t="s">
        <v>192</v>
      </c>
      <c r="F626" s="188"/>
      <c r="G626" s="18"/>
      <c r="H626" s="18">
        <v>226090</v>
      </c>
      <c r="I626" s="189"/>
      <c r="J626" s="189">
        <f>240000-H626</f>
        <v>13910</v>
      </c>
      <c r="K626" s="189">
        <f>+J626-I626</f>
        <v>13910</v>
      </c>
      <c r="L626" s="190" t="s">
        <v>551</v>
      </c>
    </row>
    <row r="627" spans="1:12" s="180" customFormat="1" ht="8.65" customHeight="1" x14ac:dyDescent="0.15">
      <c r="A627" s="187" t="s">
        <v>1226</v>
      </c>
      <c r="B627" s="187" t="s">
        <v>1201</v>
      </c>
      <c r="C627" s="187" t="s">
        <v>676</v>
      </c>
      <c r="D627" s="187" t="s">
        <v>1202</v>
      </c>
      <c r="E627" s="187" t="s">
        <v>192</v>
      </c>
      <c r="F627" s="188"/>
      <c r="G627" s="18"/>
      <c r="H627" s="18"/>
      <c r="I627" s="189"/>
      <c r="J627" s="189">
        <v>170000</v>
      </c>
      <c r="K627" s="189">
        <f t="shared" si="58"/>
        <v>170000</v>
      </c>
      <c r="L627" s="190" t="s">
        <v>551</v>
      </c>
    </row>
    <row r="628" spans="1:12" s="180" customFormat="1" ht="8.65" customHeight="1" x14ac:dyDescent="0.15">
      <c r="A628" s="187" t="s">
        <v>1226</v>
      </c>
      <c r="B628" s="187" t="s">
        <v>1385</v>
      </c>
      <c r="C628" s="187" t="s">
        <v>676</v>
      </c>
      <c r="D628" s="187" t="s">
        <v>1386</v>
      </c>
      <c r="E628" s="187" t="s">
        <v>192</v>
      </c>
      <c r="F628" s="188"/>
      <c r="G628" s="18"/>
      <c r="H628" s="18"/>
      <c r="I628" s="189"/>
      <c r="J628" s="189">
        <v>160000</v>
      </c>
      <c r="K628" s="189">
        <f t="shared" si="58"/>
        <v>160000</v>
      </c>
      <c r="L628" s="190" t="s">
        <v>551</v>
      </c>
    </row>
    <row r="629" spans="1:12" s="180" customFormat="1" ht="10.15" customHeight="1" x14ac:dyDescent="0.15">
      <c r="A629" s="270" t="s">
        <v>203</v>
      </c>
      <c r="B629" s="270"/>
      <c r="C629" s="270"/>
      <c r="D629" s="270"/>
      <c r="E629" s="270"/>
      <c r="F629" s="270"/>
      <c r="G629" s="191"/>
      <c r="H629" s="191"/>
      <c r="I629" s="192"/>
      <c r="J629" s="192">
        <f>SUM(J585:J628)</f>
        <v>3157822</v>
      </c>
      <c r="K629" s="192">
        <f>SUM(K585:K628)</f>
        <v>3157822</v>
      </c>
      <c r="L629" s="193"/>
    </row>
    <row r="630" spans="1:12" s="180" customFormat="1" ht="3" customHeight="1" x14ac:dyDescent="0.2">
      <c r="A630" s="197"/>
      <c r="B630" s="197"/>
      <c r="C630" s="197"/>
      <c r="D630" s="197"/>
      <c r="E630" s="197"/>
      <c r="F630" s="197"/>
      <c r="G630" s="197"/>
      <c r="H630" s="198"/>
      <c r="I630" s="199"/>
      <c r="J630" s="199"/>
      <c r="K630" s="199"/>
      <c r="L630" s="197"/>
    </row>
    <row r="631" spans="1:12" s="180" customFormat="1" ht="8.65" customHeight="1" x14ac:dyDescent="0.15">
      <c r="A631" s="187" t="s">
        <v>664</v>
      </c>
      <c r="B631" s="187" t="s">
        <v>1334</v>
      </c>
      <c r="C631" s="187" t="s">
        <v>717</v>
      </c>
      <c r="D631" s="187" t="s">
        <v>1335</v>
      </c>
      <c r="E631" s="187" t="s">
        <v>205</v>
      </c>
      <c r="F631" s="187" t="s">
        <v>206</v>
      </c>
      <c r="G631" s="18"/>
      <c r="H631" s="18">
        <f>50000+53000</f>
        <v>103000</v>
      </c>
      <c r="I631" s="189"/>
      <c r="J631" s="189">
        <f>213000-H631</f>
        <v>110000</v>
      </c>
      <c r="K631" s="189">
        <v>110000</v>
      </c>
      <c r="L631" s="190" t="s">
        <v>1387</v>
      </c>
    </row>
    <row r="632" spans="1:12" s="180" customFormat="1" ht="8.65" customHeight="1" x14ac:dyDescent="0.15">
      <c r="A632" s="187" t="s">
        <v>664</v>
      </c>
      <c r="B632" s="187" t="s">
        <v>1388</v>
      </c>
      <c r="C632" s="187" t="s">
        <v>1389</v>
      </c>
      <c r="D632" s="187" t="s">
        <v>1390</v>
      </c>
      <c r="E632" s="187" t="s">
        <v>205</v>
      </c>
      <c r="F632" s="188"/>
      <c r="G632" s="18"/>
      <c r="H632" s="18">
        <f>1485000+300000</f>
        <v>1785000</v>
      </c>
      <c r="I632" s="189"/>
      <c r="J632" s="189">
        <f>1785000-H632</f>
        <v>0</v>
      </c>
      <c r="K632" s="189">
        <f>+J632-I$632</f>
        <v>0</v>
      </c>
      <c r="L632" s="190" t="s">
        <v>551</v>
      </c>
    </row>
    <row r="633" spans="1:12" s="180" customFormat="1" ht="8.65" customHeight="1" x14ac:dyDescent="0.15">
      <c r="A633" s="187" t="s">
        <v>664</v>
      </c>
      <c r="B633" s="187" t="s">
        <v>1391</v>
      </c>
      <c r="C633" s="187" t="s">
        <v>1389</v>
      </c>
      <c r="D633" s="187" t="s">
        <v>1392</v>
      </c>
      <c r="E633" s="187" t="s">
        <v>205</v>
      </c>
      <c r="F633" s="188"/>
      <c r="G633" s="18"/>
      <c r="H633" s="18">
        <f>286441+1057559</f>
        <v>1344000</v>
      </c>
      <c r="I633" s="189"/>
      <c r="J633" s="189">
        <f>1344000-H633</f>
        <v>0</v>
      </c>
      <c r="K633" s="189">
        <f>+J633-I633</f>
        <v>0</v>
      </c>
      <c r="L633" s="190" t="s">
        <v>551</v>
      </c>
    </row>
    <row r="634" spans="1:12" s="180" customFormat="1" ht="8.65" customHeight="1" x14ac:dyDescent="0.15">
      <c r="A634" s="187" t="s">
        <v>664</v>
      </c>
      <c r="B634" s="187" t="s">
        <v>1393</v>
      </c>
      <c r="C634" s="187" t="s">
        <v>1394</v>
      </c>
      <c r="D634" s="187" t="s">
        <v>1395</v>
      </c>
      <c r="E634" s="187" t="s">
        <v>205</v>
      </c>
      <c r="F634" s="188"/>
      <c r="G634" s="18"/>
      <c r="H634" s="18">
        <v>5680</v>
      </c>
      <c r="I634" s="189">
        <v>66547.05</v>
      </c>
      <c r="J634" s="189">
        <f>72600-H634</f>
        <v>66920</v>
      </c>
      <c r="K634" s="189">
        <f>+J634-I634</f>
        <v>372.94999999999709</v>
      </c>
      <c r="L634" s="190" t="s">
        <v>551</v>
      </c>
    </row>
    <row r="635" spans="1:12" s="180" customFormat="1" ht="8.65" customHeight="1" x14ac:dyDescent="0.15">
      <c r="A635" s="187" t="s">
        <v>664</v>
      </c>
      <c r="B635" s="187" t="s">
        <v>1396</v>
      </c>
      <c r="C635" s="187" t="s">
        <v>717</v>
      </c>
      <c r="D635" s="187" t="s">
        <v>1397</v>
      </c>
      <c r="E635" s="187" t="s">
        <v>205</v>
      </c>
      <c r="F635" s="188"/>
      <c r="G635" s="18"/>
      <c r="H635" s="18">
        <v>307000</v>
      </c>
      <c r="I635" s="189"/>
      <c r="J635" s="189">
        <f>307000-H635</f>
        <v>0</v>
      </c>
      <c r="K635" s="189">
        <f t="shared" ref="K635:K714" si="63">+J635-I$632</f>
        <v>0</v>
      </c>
      <c r="L635" s="190" t="s">
        <v>551</v>
      </c>
    </row>
    <row r="636" spans="1:12" s="180" customFormat="1" ht="8.65" customHeight="1" x14ac:dyDescent="0.15">
      <c r="A636" s="187" t="s">
        <v>664</v>
      </c>
      <c r="B636" s="187" t="s">
        <v>665</v>
      </c>
      <c r="C636" s="187" t="s">
        <v>666</v>
      </c>
      <c r="D636" s="187" t="s">
        <v>1229</v>
      </c>
      <c r="E636" s="187" t="s">
        <v>205</v>
      </c>
      <c r="F636" s="188"/>
      <c r="G636" s="18"/>
      <c r="H636" s="18">
        <v>50261</v>
      </c>
      <c r="I636" s="189"/>
      <c r="J636" s="189">
        <f>75000-H636</f>
        <v>24739</v>
      </c>
      <c r="K636" s="189">
        <f>+J636-I636</f>
        <v>24739</v>
      </c>
      <c r="L636" s="190" t="s">
        <v>551</v>
      </c>
    </row>
    <row r="637" spans="1:12" s="180" customFormat="1" ht="8.65" customHeight="1" x14ac:dyDescent="0.15">
      <c r="A637" s="187" t="s">
        <v>664</v>
      </c>
      <c r="B637" s="187" t="s">
        <v>730</v>
      </c>
      <c r="C637" s="187" t="s">
        <v>666</v>
      </c>
      <c r="D637" s="187" t="s">
        <v>1340</v>
      </c>
      <c r="E637" s="187" t="s">
        <v>205</v>
      </c>
      <c r="F637" s="188"/>
      <c r="G637" s="18"/>
      <c r="H637" s="18">
        <v>30000</v>
      </c>
      <c r="I637" s="189"/>
      <c r="J637" s="189">
        <f>30000-H637</f>
        <v>0</v>
      </c>
      <c r="K637" s="189">
        <f t="shared" si="63"/>
        <v>0</v>
      </c>
      <c r="L637" s="190" t="s">
        <v>551</v>
      </c>
    </row>
    <row r="638" spans="1:12" s="180" customFormat="1" ht="8.65" customHeight="1" x14ac:dyDescent="0.15">
      <c r="A638" s="187" t="s">
        <v>664</v>
      </c>
      <c r="B638" s="187" t="s">
        <v>732</v>
      </c>
      <c r="C638" s="187" t="s">
        <v>666</v>
      </c>
      <c r="D638" s="187" t="s">
        <v>733</v>
      </c>
      <c r="E638" s="187" t="s">
        <v>205</v>
      </c>
      <c r="F638" s="188"/>
      <c r="G638" s="18"/>
      <c r="H638" s="18">
        <v>53075</v>
      </c>
      <c r="I638" s="189"/>
      <c r="J638" s="189">
        <f>79200-H638</f>
        <v>26125</v>
      </c>
      <c r="K638" s="189">
        <f t="shared" si="63"/>
        <v>26125</v>
      </c>
      <c r="L638" s="190" t="s">
        <v>551</v>
      </c>
    </row>
    <row r="639" spans="1:12" s="180" customFormat="1" ht="8.65" customHeight="1" x14ac:dyDescent="0.15">
      <c r="A639" s="187" t="s">
        <v>664</v>
      </c>
      <c r="B639" s="187" t="s">
        <v>670</v>
      </c>
      <c r="C639" s="187" t="s">
        <v>666</v>
      </c>
      <c r="D639" s="187" t="s">
        <v>671</v>
      </c>
      <c r="E639" s="187" t="s">
        <v>205</v>
      </c>
      <c r="F639" s="188"/>
      <c r="G639" s="18"/>
      <c r="H639" s="18">
        <v>40000</v>
      </c>
      <c r="I639" s="189"/>
      <c r="J639" s="189">
        <f>40000-H639</f>
        <v>0</v>
      </c>
      <c r="K639" s="189">
        <f t="shared" si="63"/>
        <v>0</v>
      </c>
      <c r="L639" s="190" t="s">
        <v>551</v>
      </c>
    </row>
    <row r="640" spans="1:12" s="180" customFormat="1" ht="8.65" customHeight="1" x14ac:dyDescent="0.15">
      <c r="A640" s="187" t="s">
        <v>664</v>
      </c>
      <c r="B640" s="187" t="s">
        <v>1398</v>
      </c>
      <c r="C640" s="187" t="s">
        <v>1344</v>
      </c>
      <c r="D640" s="187" t="s">
        <v>1399</v>
      </c>
      <c r="E640" s="187" t="s">
        <v>205</v>
      </c>
      <c r="F640" s="188"/>
      <c r="G640" s="18">
        <v>57800</v>
      </c>
      <c r="H640" s="18"/>
      <c r="I640" s="189"/>
      <c r="J640" s="189">
        <f>462000+G640</f>
        <v>519800</v>
      </c>
      <c r="K640" s="189">
        <f t="shared" si="63"/>
        <v>519800</v>
      </c>
      <c r="L640" s="190" t="s">
        <v>551</v>
      </c>
    </row>
    <row r="641" spans="1:12" s="180" customFormat="1" ht="8.65" customHeight="1" x14ac:dyDescent="0.15">
      <c r="A641" s="187" t="s">
        <v>664</v>
      </c>
      <c r="B641" s="187" t="s">
        <v>1343</v>
      </c>
      <c r="C641" s="187" t="s">
        <v>1344</v>
      </c>
      <c r="D641" s="187" t="s">
        <v>1345</v>
      </c>
      <c r="E641" s="187" t="s">
        <v>205</v>
      </c>
      <c r="F641" s="188"/>
      <c r="G641" s="18"/>
      <c r="H641" s="18">
        <v>99900</v>
      </c>
      <c r="I641" s="189"/>
      <c r="J641" s="189">
        <f>99900-H641</f>
        <v>0</v>
      </c>
      <c r="K641" s="189">
        <f t="shared" si="63"/>
        <v>0</v>
      </c>
      <c r="L641" s="190" t="s">
        <v>551</v>
      </c>
    </row>
    <row r="642" spans="1:12" s="180" customFormat="1" ht="8.65" customHeight="1" x14ac:dyDescent="0.15">
      <c r="A642" s="187" t="s">
        <v>664</v>
      </c>
      <c r="B642" s="187" t="s">
        <v>1400</v>
      </c>
      <c r="C642" s="187" t="s">
        <v>1344</v>
      </c>
      <c r="D642" s="187" t="s">
        <v>1401</v>
      </c>
      <c r="E642" s="187" t="s">
        <v>205</v>
      </c>
      <c r="F642" s="188"/>
      <c r="G642" s="18"/>
      <c r="H642" s="18">
        <v>86400</v>
      </c>
      <c r="I642" s="189"/>
      <c r="J642" s="189">
        <f>86400-H642</f>
        <v>0</v>
      </c>
      <c r="K642" s="189">
        <f t="shared" si="63"/>
        <v>0</v>
      </c>
      <c r="L642" s="190" t="s">
        <v>551</v>
      </c>
    </row>
    <row r="643" spans="1:12" s="180" customFormat="1" ht="8.65" customHeight="1" x14ac:dyDescent="0.15">
      <c r="A643" s="187" t="s">
        <v>664</v>
      </c>
      <c r="B643" s="187" t="s">
        <v>1402</v>
      </c>
      <c r="C643" s="187" t="s">
        <v>1344</v>
      </c>
      <c r="D643" s="187" t="s">
        <v>1403</v>
      </c>
      <c r="E643" s="187" t="s">
        <v>205</v>
      </c>
      <c r="F643" s="188"/>
      <c r="G643" s="18"/>
      <c r="H643" s="18"/>
      <c r="I643" s="189"/>
      <c r="J643" s="189">
        <v>87000</v>
      </c>
      <c r="K643" s="189">
        <f t="shared" si="63"/>
        <v>87000</v>
      </c>
      <c r="L643" s="190" t="s">
        <v>551</v>
      </c>
    </row>
    <row r="644" spans="1:12" s="180" customFormat="1" ht="8.65" customHeight="1" x14ac:dyDescent="0.15">
      <c r="A644" s="187" t="s">
        <v>664</v>
      </c>
      <c r="B644" s="187" t="s">
        <v>1404</v>
      </c>
      <c r="C644" s="187" t="s">
        <v>1344</v>
      </c>
      <c r="D644" s="187" t="s">
        <v>1405</v>
      </c>
      <c r="E644" s="187" t="s">
        <v>205</v>
      </c>
      <c r="F644" s="188"/>
      <c r="G644" s="18"/>
      <c r="H644" s="18">
        <v>126000</v>
      </c>
      <c r="I644" s="189"/>
      <c r="J644" s="189">
        <f>252000-H644</f>
        <v>126000</v>
      </c>
      <c r="K644" s="189">
        <f>+J644-I644</f>
        <v>126000</v>
      </c>
      <c r="L644" s="190" t="s">
        <v>551</v>
      </c>
    </row>
    <row r="645" spans="1:12" s="180" customFormat="1" ht="8.65" customHeight="1" x14ac:dyDescent="0.15">
      <c r="A645" s="187" t="s">
        <v>664</v>
      </c>
      <c r="B645" s="187" t="s">
        <v>1406</v>
      </c>
      <c r="C645" s="187" t="s">
        <v>1344</v>
      </c>
      <c r="D645" s="187" t="s">
        <v>1407</v>
      </c>
      <c r="E645" s="187" t="s">
        <v>205</v>
      </c>
      <c r="F645" s="188"/>
      <c r="G645" s="18"/>
      <c r="H645" s="18">
        <v>10246000</v>
      </c>
      <c r="I645" s="189"/>
      <c r="J645" s="189">
        <f>10246000-H645</f>
        <v>0</v>
      </c>
      <c r="K645" s="189">
        <f t="shared" si="63"/>
        <v>0</v>
      </c>
      <c r="L645" s="190" t="s">
        <v>551</v>
      </c>
    </row>
    <row r="646" spans="1:12" s="180" customFormat="1" ht="8.65" customHeight="1" x14ac:dyDescent="0.15">
      <c r="A646" s="187" t="s">
        <v>664</v>
      </c>
      <c r="B646" s="187" t="s">
        <v>1408</v>
      </c>
      <c r="C646" s="187" t="s">
        <v>1344</v>
      </c>
      <c r="D646" s="187" t="s">
        <v>1409</v>
      </c>
      <c r="E646" s="187" t="s">
        <v>205</v>
      </c>
      <c r="F646" s="188"/>
      <c r="G646" s="18">
        <v>33300</v>
      </c>
      <c r="H646" s="18"/>
      <c r="I646" s="189"/>
      <c r="J646" s="189">
        <f>105600+G646</f>
        <v>138900</v>
      </c>
      <c r="K646" s="189">
        <f t="shared" si="63"/>
        <v>138900</v>
      </c>
      <c r="L646" s="190" t="s">
        <v>551</v>
      </c>
    </row>
    <row r="647" spans="1:12" s="180" customFormat="1" ht="8.65" customHeight="1" x14ac:dyDescent="0.15">
      <c r="A647" s="187" t="s">
        <v>664</v>
      </c>
      <c r="B647" s="187" t="s">
        <v>1410</v>
      </c>
      <c r="C647" s="187" t="s">
        <v>1344</v>
      </c>
      <c r="D647" s="187" t="s">
        <v>1411</v>
      </c>
      <c r="E647" s="187" t="s">
        <v>205</v>
      </c>
      <c r="F647" s="188"/>
      <c r="G647" s="18">
        <f>38900+61100</f>
        <v>100000</v>
      </c>
      <c r="H647" s="18"/>
      <c r="I647" s="189"/>
      <c r="J647" s="189">
        <f>100000+G647</f>
        <v>200000</v>
      </c>
      <c r="K647" s="189">
        <f>+J647-I647</f>
        <v>200000</v>
      </c>
      <c r="L647" s="190" t="s">
        <v>551</v>
      </c>
    </row>
    <row r="648" spans="1:12" s="180" customFormat="1" ht="8.65" customHeight="1" x14ac:dyDescent="0.15">
      <c r="A648" s="187" t="s">
        <v>664</v>
      </c>
      <c r="B648" s="187" t="s">
        <v>1412</v>
      </c>
      <c r="C648" s="187" t="s">
        <v>1344</v>
      </c>
      <c r="D648" s="187" t="s">
        <v>1413</v>
      </c>
      <c r="E648" s="187" t="s">
        <v>205</v>
      </c>
      <c r="F648" s="188"/>
      <c r="G648" s="18">
        <v>60000</v>
      </c>
      <c r="H648" s="18"/>
      <c r="I648" s="189"/>
      <c r="J648" s="189">
        <v>60000</v>
      </c>
      <c r="K648" s="189">
        <f>+J648-I648</f>
        <v>60000</v>
      </c>
      <c r="L648" s="190" t="s">
        <v>551</v>
      </c>
    </row>
    <row r="649" spans="1:12" s="180" customFormat="1" ht="8.65" customHeight="1" x14ac:dyDescent="0.15">
      <c r="A649" s="187" t="s">
        <v>664</v>
      </c>
      <c r="B649" s="187" t="s">
        <v>1414</v>
      </c>
      <c r="C649" s="187" t="s">
        <v>1344</v>
      </c>
      <c r="D649" s="187" t="s">
        <v>1415</v>
      </c>
      <c r="E649" s="187" t="s">
        <v>205</v>
      </c>
      <c r="F649" s="188"/>
      <c r="G649" s="18"/>
      <c r="H649" s="18"/>
      <c r="I649" s="189"/>
      <c r="J649" s="189">
        <v>100800</v>
      </c>
      <c r="K649" s="189">
        <f t="shared" si="63"/>
        <v>100800</v>
      </c>
      <c r="L649" s="190" t="s">
        <v>551</v>
      </c>
    </row>
    <row r="650" spans="1:12" s="211" customFormat="1" ht="8.65" customHeight="1" x14ac:dyDescent="0.15">
      <c r="A650" s="187" t="s">
        <v>664</v>
      </c>
      <c r="B650" s="187" t="s">
        <v>1416</v>
      </c>
      <c r="C650" s="187" t="s">
        <v>1344</v>
      </c>
      <c r="D650" s="187" t="s">
        <v>1417</v>
      </c>
      <c r="E650" s="187" t="s">
        <v>205</v>
      </c>
      <c r="F650" s="188"/>
      <c r="G650" s="18"/>
      <c r="H650" s="18">
        <v>125000</v>
      </c>
      <c r="I650" s="189"/>
      <c r="J650" s="189">
        <f>709360-H650</f>
        <v>584360</v>
      </c>
      <c r="K650" s="189">
        <f>+J650-I650</f>
        <v>584360</v>
      </c>
      <c r="L650" s="190" t="s">
        <v>551</v>
      </c>
    </row>
    <row r="651" spans="1:12" s="211" customFormat="1" ht="8.65" customHeight="1" x14ac:dyDescent="0.15">
      <c r="A651" s="187" t="s">
        <v>664</v>
      </c>
      <c r="B651" s="187" t="s">
        <v>1418</v>
      </c>
      <c r="C651" s="187" t="s">
        <v>1344</v>
      </c>
      <c r="D651" s="187" t="s">
        <v>1419</v>
      </c>
      <c r="E651" s="187" t="s">
        <v>205</v>
      </c>
      <c r="F651" s="188"/>
      <c r="G651" s="18">
        <v>50000</v>
      </c>
      <c r="H651" s="18"/>
      <c r="I651" s="189"/>
      <c r="J651" s="189">
        <v>50000</v>
      </c>
      <c r="K651" s="189">
        <f>+J651-I651</f>
        <v>50000</v>
      </c>
      <c r="L651" s="190"/>
    </row>
    <row r="652" spans="1:12" s="180" customFormat="1" ht="8.65" customHeight="1" x14ac:dyDescent="0.15">
      <c r="A652" s="187" t="s">
        <v>664</v>
      </c>
      <c r="B652" s="187" t="s">
        <v>1420</v>
      </c>
      <c r="C652" s="187" t="s">
        <v>1344</v>
      </c>
      <c r="D652" s="187" t="s">
        <v>1421</v>
      </c>
      <c r="E652" s="187" t="s">
        <v>205</v>
      </c>
      <c r="F652" s="188"/>
      <c r="G652" s="18"/>
      <c r="H652" s="18">
        <v>96000</v>
      </c>
      <c r="I652" s="189"/>
      <c r="J652" s="189">
        <f>96000-H652</f>
        <v>0</v>
      </c>
      <c r="K652" s="189">
        <f t="shared" si="63"/>
        <v>0</v>
      </c>
      <c r="L652" s="190" t="s">
        <v>551</v>
      </c>
    </row>
    <row r="653" spans="1:12" s="211" customFormat="1" ht="8.65" customHeight="1" x14ac:dyDescent="0.15">
      <c r="A653" s="187" t="s">
        <v>664</v>
      </c>
      <c r="B653" s="187" t="s">
        <v>1422</v>
      </c>
      <c r="C653" s="187" t="s">
        <v>1344</v>
      </c>
      <c r="D653" s="187" t="s">
        <v>1423</v>
      </c>
      <c r="E653" s="187" t="s">
        <v>205</v>
      </c>
      <c r="F653" s="188"/>
      <c r="G653" s="18">
        <v>160000</v>
      </c>
      <c r="H653" s="18"/>
      <c r="I653" s="189"/>
      <c r="J653" s="189">
        <v>160000</v>
      </c>
      <c r="K653" s="189">
        <f>+J653-I653</f>
        <v>160000</v>
      </c>
      <c r="L653" s="229" t="s">
        <v>551</v>
      </c>
    </row>
    <row r="654" spans="1:12" s="211" customFormat="1" ht="8.65" customHeight="1" x14ac:dyDescent="0.15">
      <c r="A654" s="187" t="s">
        <v>664</v>
      </c>
      <c r="B654" s="187" t="s">
        <v>1424</v>
      </c>
      <c r="C654" s="187" t="s">
        <v>1344</v>
      </c>
      <c r="D654" s="187" t="s">
        <v>1425</v>
      </c>
      <c r="E654" s="187" t="s">
        <v>205</v>
      </c>
      <c r="F654" s="188"/>
      <c r="G654" s="51">
        <v>100000</v>
      </c>
      <c r="H654" s="18"/>
      <c r="I654" s="189"/>
      <c r="J654" s="51">
        <v>100000</v>
      </c>
      <c r="K654" s="189">
        <f>+J654-I$654</f>
        <v>100000</v>
      </c>
      <c r="L654" s="229" t="s">
        <v>551</v>
      </c>
    </row>
    <row r="655" spans="1:12" s="211" customFormat="1" ht="8.65" customHeight="1" x14ac:dyDescent="0.15">
      <c r="A655" s="187" t="s">
        <v>664</v>
      </c>
      <c r="B655" s="187" t="s">
        <v>1426</v>
      </c>
      <c r="C655" s="187" t="s">
        <v>769</v>
      </c>
      <c r="D655" s="187" t="s">
        <v>1427</v>
      </c>
      <c r="E655" s="187" t="s">
        <v>205</v>
      </c>
      <c r="F655" s="188"/>
      <c r="G655" s="51">
        <v>138000</v>
      </c>
      <c r="H655" s="18"/>
      <c r="I655" s="189">
        <v>128029</v>
      </c>
      <c r="J655" s="51">
        <v>138000</v>
      </c>
      <c r="K655" s="189">
        <f>+J655-I655</f>
        <v>9971</v>
      </c>
      <c r="L655" s="229" t="s">
        <v>551</v>
      </c>
    </row>
    <row r="656" spans="1:12" s="211" customFormat="1" ht="8.65" customHeight="1" x14ac:dyDescent="0.15">
      <c r="A656" s="187" t="s">
        <v>664</v>
      </c>
      <c r="B656" s="187" t="s">
        <v>1428</v>
      </c>
      <c r="C656" s="187" t="s">
        <v>769</v>
      </c>
      <c r="D656" s="187" t="s">
        <v>1429</v>
      </c>
      <c r="E656" s="187" t="s">
        <v>205</v>
      </c>
      <c r="F656" s="188"/>
      <c r="G656" s="51">
        <v>225000</v>
      </c>
      <c r="H656" s="18"/>
      <c r="I656" s="189">
        <v>222076.19</v>
      </c>
      <c r="J656" s="51">
        <v>225000</v>
      </c>
      <c r="K656" s="189">
        <f>+J656-I656</f>
        <v>2923.8099999999977</v>
      </c>
      <c r="L656" s="229" t="s">
        <v>551</v>
      </c>
    </row>
    <row r="657" spans="1:12" s="211" customFormat="1" ht="8.65" customHeight="1" x14ac:dyDescent="0.15">
      <c r="A657" s="187" t="s">
        <v>664</v>
      </c>
      <c r="B657" s="187" t="s">
        <v>1430</v>
      </c>
      <c r="C657" s="187" t="s">
        <v>769</v>
      </c>
      <c r="D657" s="187" t="s">
        <v>1431</v>
      </c>
      <c r="E657" s="187" t="s">
        <v>205</v>
      </c>
      <c r="F657" s="188"/>
      <c r="G657" s="51">
        <v>386250</v>
      </c>
      <c r="H657" s="18"/>
      <c r="I657" s="189">
        <v>373731.41</v>
      </c>
      <c r="J657" s="51">
        <v>386250</v>
      </c>
      <c r="K657" s="189">
        <f>+J657-I657</f>
        <v>12518.590000000026</v>
      </c>
      <c r="L657" s="229" t="s">
        <v>551</v>
      </c>
    </row>
    <row r="658" spans="1:12" s="211" customFormat="1" ht="8.65" customHeight="1" x14ac:dyDescent="0.15">
      <c r="A658" s="187" t="s">
        <v>664</v>
      </c>
      <c r="B658" s="187" t="s">
        <v>1432</v>
      </c>
      <c r="C658" s="187" t="s">
        <v>769</v>
      </c>
      <c r="D658" s="187" t="s">
        <v>1433</v>
      </c>
      <c r="E658" s="187" t="s">
        <v>205</v>
      </c>
      <c r="F658" s="188"/>
      <c r="G658" s="51">
        <v>180000</v>
      </c>
      <c r="H658" s="18"/>
      <c r="I658" s="189">
        <v>174585</v>
      </c>
      <c r="J658" s="51">
        <v>180000</v>
      </c>
      <c r="K658" s="189">
        <f>+J658-I658</f>
        <v>5415</v>
      </c>
      <c r="L658" s="229" t="s">
        <v>551</v>
      </c>
    </row>
    <row r="659" spans="1:12" s="211" customFormat="1" ht="8.65" customHeight="1" x14ac:dyDescent="0.15">
      <c r="A659" s="187" t="s">
        <v>664</v>
      </c>
      <c r="B659" s="187" t="s">
        <v>1434</v>
      </c>
      <c r="C659" s="187" t="s">
        <v>769</v>
      </c>
      <c r="D659" s="187" t="s">
        <v>1435</v>
      </c>
      <c r="E659" s="187" t="s">
        <v>205</v>
      </c>
      <c r="F659" s="188"/>
      <c r="G659" s="18"/>
      <c r="H659" s="18"/>
      <c r="I659" s="189">
        <v>4692.7</v>
      </c>
      <c r="J659" s="189">
        <v>4692.7</v>
      </c>
      <c r="K659" s="189">
        <f>+J659-I659</f>
        <v>0</v>
      </c>
      <c r="L659" s="229" t="s">
        <v>551</v>
      </c>
    </row>
    <row r="660" spans="1:12" s="211" customFormat="1" ht="8.65" customHeight="1" x14ac:dyDescent="0.15">
      <c r="A660" s="187" t="s">
        <v>664</v>
      </c>
      <c r="B660" s="187" t="s">
        <v>1436</v>
      </c>
      <c r="C660" s="187" t="s">
        <v>717</v>
      </c>
      <c r="D660" s="187" t="s">
        <v>1437</v>
      </c>
      <c r="E660" s="187" t="s">
        <v>205</v>
      </c>
      <c r="F660" s="188"/>
      <c r="G660" s="188"/>
      <c r="H660" s="18"/>
      <c r="I660" s="189"/>
      <c r="J660" s="189">
        <v>271200</v>
      </c>
      <c r="K660" s="189">
        <f t="shared" si="63"/>
        <v>271200</v>
      </c>
      <c r="L660" s="229" t="s">
        <v>551</v>
      </c>
    </row>
    <row r="661" spans="1:12" s="180" customFormat="1" ht="8.65" customHeight="1" x14ac:dyDescent="0.15">
      <c r="A661" s="187" t="s">
        <v>664</v>
      </c>
      <c r="B661" s="187" t="s">
        <v>1027</v>
      </c>
      <c r="C661" s="187" t="s">
        <v>717</v>
      </c>
      <c r="D661" s="187" t="s">
        <v>1346</v>
      </c>
      <c r="E661" s="187" t="s">
        <v>205</v>
      </c>
      <c r="F661" s="188"/>
      <c r="G661" s="18"/>
      <c r="H661" s="18">
        <v>105600</v>
      </c>
      <c r="I661" s="189"/>
      <c r="J661" s="189">
        <f>105600-H661</f>
        <v>0</v>
      </c>
      <c r="K661" s="189">
        <f>+J661-I661</f>
        <v>0</v>
      </c>
      <c r="L661" s="229" t="s">
        <v>551</v>
      </c>
    </row>
    <row r="662" spans="1:12" s="180" customFormat="1" ht="8.65" customHeight="1" x14ac:dyDescent="0.15">
      <c r="A662" s="187" t="s">
        <v>664</v>
      </c>
      <c r="B662" s="187" t="s">
        <v>1438</v>
      </c>
      <c r="C662" s="187" t="s">
        <v>717</v>
      </c>
      <c r="D662" s="187" t="s">
        <v>1439</v>
      </c>
      <c r="E662" s="187" t="s">
        <v>205</v>
      </c>
      <c r="F662" s="188"/>
      <c r="G662" s="18">
        <v>135600</v>
      </c>
      <c r="H662" s="18"/>
      <c r="I662" s="189"/>
      <c r="J662" s="189">
        <f>+G662</f>
        <v>135600</v>
      </c>
      <c r="K662" s="189">
        <f t="shared" si="63"/>
        <v>135600</v>
      </c>
      <c r="L662" s="229" t="s">
        <v>551</v>
      </c>
    </row>
    <row r="663" spans="1:12" s="180" customFormat="1" ht="8.65" customHeight="1" x14ac:dyDescent="0.15">
      <c r="A663" s="187" t="s">
        <v>664</v>
      </c>
      <c r="B663" s="187" t="s">
        <v>1440</v>
      </c>
      <c r="C663" s="187" t="s">
        <v>717</v>
      </c>
      <c r="D663" s="187" t="s">
        <v>1441</v>
      </c>
      <c r="E663" s="187" t="s">
        <v>205</v>
      </c>
      <c r="F663" s="188"/>
      <c r="G663" s="18">
        <v>84750</v>
      </c>
      <c r="H663" s="18"/>
      <c r="I663" s="189"/>
      <c r="J663" s="189">
        <f>+G663</f>
        <v>84750</v>
      </c>
      <c r="K663" s="189">
        <f t="shared" si="63"/>
        <v>84750</v>
      </c>
      <c r="L663" s="229" t="s">
        <v>551</v>
      </c>
    </row>
    <row r="664" spans="1:12" s="180" customFormat="1" ht="8.65" customHeight="1" x14ac:dyDescent="0.15">
      <c r="A664" s="187" t="s">
        <v>664</v>
      </c>
      <c r="B664" s="187" t="s">
        <v>1442</v>
      </c>
      <c r="C664" s="187" t="s">
        <v>1269</v>
      </c>
      <c r="D664" s="187" t="s">
        <v>1443</v>
      </c>
      <c r="E664" s="187" t="s">
        <v>205</v>
      </c>
      <c r="F664" s="188"/>
      <c r="G664" s="18">
        <v>42534</v>
      </c>
      <c r="H664" s="18"/>
      <c r="I664" s="189">
        <v>37504.699999999997</v>
      </c>
      <c r="J664" s="189">
        <f>+G664</f>
        <v>42534</v>
      </c>
      <c r="K664" s="189">
        <f t="shared" ref="K664:K670" si="64">+J664-I664</f>
        <v>5029.3000000000029</v>
      </c>
      <c r="L664" s="229" t="s">
        <v>551</v>
      </c>
    </row>
    <row r="665" spans="1:12" s="180" customFormat="1" ht="8.65" customHeight="1" x14ac:dyDescent="0.15">
      <c r="A665" s="187" t="s">
        <v>664</v>
      </c>
      <c r="B665" s="187" t="s">
        <v>1444</v>
      </c>
      <c r="C665" s="187" t="s">
        <v>1269</v>
      </c>
      <c r="D665" s="187" t="s">
        <v>1445</v>
      </c>
      <c r="E665" s="187" t="s">
        <v>205</v>
      </c>
      <c r="F665" s="188"/>
      <c r="G665" s="18">
        <f>+J665</f>
        <v>26500</v>
      </c>
      <c r="H665" s="18"/>
      <c r="I665" s="189">
        <v>22419.200000000001</v>
      </c>
      <c r="J665" s="189">
        <v>26500</v>
      </c>
      <c r="K665" s="189">
        <f t="shared" si="64"/>
        <v>4080.7999999999993</v>
      </c>
      <c r="L665" s="229" t="s">
        <v>551</v>
      </c>
    </row>
    <row r="666" spans="1:12" s="180" customFormat="1" ht="8.65" customHeight="1" x14ac:dyDescent="0.15">
      <c r="A666" s="187" t="s">
        <v>664</v>
      </c>
      <c r="B666" s="187" t="s">
        <v>1446</v>
      </c>
      <c r="C666" s="187" t="s">
        <v>1269</v>
      </c>
      <c r="D666" s="187" t="s">
        <v>1447</v>
      </c>
      <c r="E666" s="187" t="s">
        <v>205</v>
      </c>
      <c r="F666" s="188"/>
      <c r="G666" s="18"/>
      <c r="H666" s="18">
        <v>10000</v>
      </c>
      <c r="I666" s="189">
        <v>94768.73</v>
      </c>
      <c r="J666" s="189">
        <f>105000-H666</f>
        <v>95000</v>
      </c>
      <c r="K666" s="189">
        <f t="shared" si="64"/>
        <v>231.27000000000407</v>
      </c>
      <c r="L666" s="229" t="s">
        <v>551</v>
      </c>
    </row>
    <row r="667" spans="1:12" s="180" customFormat="1" ht="8.65" customHeight="1" x14ac:dyDescent="0.15">
      <c r="A667" s="187" t="s">
        <v>664</v>
      </c>
      <c r="B667" s="187" t="s">
        <v>1448</v>
      </c>
      <c r="C667" s="187" t="s">
        <v>1269</v>
      </c>
      <c r="D667" s="187" t="s">
        <v>1449</v>
      </c>
      <c r="E667" s="187" t="s">
        <v>205</v>
      </c>
      <c r="F667" s="188"/>
      <c r="G667" s="18">
        <f>+J667</f>
        <v>456272.25</v>
      </c>
      <c r="H667" s="18"/>
      <c r="I667" s="189">
        <v>379962</v>
      </c>
      <c r="J667" s="189">
        <v>456272.25</v>
      </c>
      <c r="K667" s="189">
        <f t="shared" si="64"/>
        <v>76310.25</v>
      </c>
      <c r="L667" s="229" t="s">
        <v>551</v>
      </c>
    </row>
    <row r="668" spans="1:12" s="180" customFormat="1" ht="8.65" customHeight="1" x14ac:dyDescent="0.15">
      <c r="A668" s="187" t="s">
        <v>664</v>
      </c>
      <c r="B668" s="187" t="s">
        <v>1450</v>
      </c>
      <c r="C668" s="187" t="s">
        <v>1269</v>
      </c>
      <c r="D668" s="187" t="s">
        <v>1451</v>
      </c>
      <c r="E668" s="187" t="s">
        <v>205</v>
      </c>
      <c r="F668" s="188"/>
      <c r="G668" s="18"/>
      <c r="H668" s="18">
        <v>13686.22</v>
      </c>
      <c r="I668" s="189">
        <v>101813</v>
      </c>
      <c r="J668" s="189">
        <f>115500-H668</f>
        <v>101813.78</v>
      </c>
      <c r="K668" s="189">
        <f t="shared" si="64"/>
        <v>0.77999999999883585</v>
      </c>
      <c r="L668" s="229" t="s">
        <v>551</v>
      </c>
    </row>
    <row r="669" spans="1:12" s="180" customFormat="1" ht="8.65" customHeight="1" x14ac:dyDescent="0.15">
      <c r="A669" s="187" t="s">
        <v>664</v>
      </c>
      <c r="B669" s="187" t="s">
        <v>1452</v>
      </c>
      <c r="C669" s="187" t="s">
        <v>1269</v>
      </c>
      <c r="D669" s="187" t="s">
        <v>1453</v>
      </c>
      <c r="E669" s="187" t="s">
        <v>205</v>
      </c>
      <c r="F669" s="188"/>
      <c r="G669" s="18"/>
      <c r="H669" s="18">
        <f>20851+12861.06</f>
        <v>33712.06</v>
      </c>
      <c r="I669" s="189">
        <v>35581.440000000002</v>
      </c>
      <c r="J669" s="189">
        <f>69300-H669</f>
        <v>35587.94</v>
      </c>
      <c r="K669" s="189">
        <f t="shared" si="64"/>
        <v>6.5</v>
      </c>
      <c r="L669" s="229" t="s">
        <v>551</v>
      </c>
    </row>
    <row r="670" spans="1:12" s="180" customFormat="1" ht="8.65" customHeight="1" x14ac:dyDescent="0.15">
      <c r="A670" s="187" t="s">
        <v>664</v>
      </c>
      <c r="B670" s="187" t="s">
        <v>1454</v>
      </c>
      <c r="C670" s="187" t="s">
        <v>1269</v>
      </c>
      <c r="D670" s="187" t="s">
        <v>1455</v>
      </c>
      <c r="E670" s="187" t="s">
        <v>205</v>
      </c>
      <c r="F670" s="188"/>
      <c r="G670" s="18">
        <f>+J670</f>
        <v>290000</v>
      </c>
      <c r="H670" s="18"/>
      <c r="I670" s="189">
        <v>251249.85</v>
      </c>
      <c r="J670" s="189">
        <v>290000</v>
      </c>
      <c r="K670" s="189">
        <f t="shared" si="64"/>
        <v>38750.149999999994</v>
      </c>
      <c r="L670" s="229" t="s">
        <v>551</v>
      </c>
    </row>
    <row r="671" spans="1:12" s="180" customFormat="1" ht="8.65" customHeight="1" x14ac:dyDescent="0.15">
      <c r="A671" s="187" t="s">
        <v>664</v>
      </c>
      <c r="B671" s="187" t="s">
        <v>1456</v>
      </c>
      <c r="C671" s="187" t="s">
        <v>1269</v>
      </c>
      <c r="D671" s="187" t="s">
        <v>1457</v>
      </c>
      <c r="E671" s="187" t="s">
        <v>205</v>
      </c>
      <c r="F671" s="188"/>
      <c r="G671" s="18"/>
      <c r="H671" s="18"/>
      <c r="I671" s="189"/>
      <c r="J671" s="189">
        <v>0</v>
      </c>
      <c r="K671" s="189">
        <f t="shared" si="63"/>
        <v>0</v>
      </c>
      <c r="L671" s="229" t="s">
        <v>551</v>
      </c>
    </row>
    <row r="672" spans="1:12" s="180" customFormat="1" ht="9" customHeight="1" x14ac:dyDescent="0.15">
      <c r="A672" s="187" t="s">
        <v>664</v>
      </c>
      <c r="B672" s="187" t="s">
        <v>1458</v>
      </c>
      <c r="C672" s="187" t="s">
        <v>1389</v>
      </c>
      <c r="D672" s="187" t="s">
        <v>1459</v>
      </c>
      <c r="E672" s="187" t="s">
        <v>205</v>
      </c>
      <c r="F672" s="188"/>
      <c r="G672" s="18"/>
      <c r="H672" s="18"/>
      <c r="I672" s="189"/>
      <c r="J672" s="189">
        <v>0</v>
      </c>
      <c r="K672" s="189">
        <f t="shared" si="63"/>
        <v>0</v>
      </c>
      <c r="L672" s="229" t="s">
        <v>551</v>
      </c>
    </row>
    <row r="673" spans="1:12" s="180" customFormat="1" ht="9" customHeight="1" x14ac:dyDescent="0.15">
      <c r="A673" s="187" t="s">
        <v>664</v>
      </c>
      <c r="B673" s="187" t="s">
        <v>1460</v>
      </c>
      <c r="C673" s="187" t="s">
        <v>1389</v>
      </c>
      <c r="D673" s="187" t="s">
        <v>1461</v>
      </c>
      <c r="E673" s="187" t="s">
        <v>205</v>
      </c>
      <c r="F673" s="188"/>
      <c r="G673" s="18">
        <f>+J673</f>
        <v>1370000</v>
      </c>
      <c r="H673" s="18"/>
      <c r="I673" s="189">
        <v>959759.99</v>
      </c>
      <c r="J673" s="189">
        <v>1370000</v>
      </c>
      <c r="K673" s="189">
        <f>+J673-I673</f>
        <v>410240.01</v>
      </c>
      <c r="L673" s="229" t="s">
        <v>551</v>
      </c>
    </row>
    <row r="674" spans="1:12" s="211" customFormat="1" ht="8.65" customHeight="1" x14ac:dyDescent="0.15">
      <c r="A674" s="187" t="s">
        <v>664</v>
      </c>
      <c r="B674" s="187" t="s">
        <v>1462</v>
      </c>
      <c r="C674" s="187" t="s">
        <v>1389</v>
      </c>
      <c r="D674" s="187" t="s">
        <v>1463</v>
      </c>
      <c r="E674" s="187" t="s">
        <v>205</v>
      </c>
      <c r="F674" s="188"/>
      <c r="G674" s="18"/>
      <c r="H674" s="18">
        <v>12441</v>
      </c>
      <c r="I674" s="189">
        <v>863037.49</v>
      </c>
      <c r="J674" s="189">
        <f>994350-H674</f>
        <v>981909</v>
      </c>
      <c r="K674" s="189">
        <f>+J674-I674</f>
        <v>118871.51000000001</v>
      </c>
      <c r="L674" s="229" t="s">
        <v>551</v>
      </c>
    </row>
    <row r="675" spans="1:12" s="230" customFormat="1" ht="8.65" customHeight="1" x14ac:dyDescent="0.15">
      <c r="A675" s="187" t="s">
        <v>664</v>
      </c>
      <c r="B675" s="187" t="s">
        <v>1464</v>
      </c>
      <c r="C675" s="187" t="s">
        <v>1394</v>
      </c>
      <c r="D675" s="187" t="s">
        <v>1465</v>
      </c>
      <c r="E675" s="187" t="s">
        <v>205</v>
      </c>
      <c r="F675" s="188"/>
      <c r="G675" s="18">
        <f>+J675</f>
        <v>6651.98</v>
      </c>
      <c r="H675" s="18"/>
      <c r="I675" s="189">
        <f>0.13+6651.02</f>
        <v>6651.1500000000005</v>
      </c>
      <c r="J675" s="189">
        <v>6651.98</v>
      </c>
      <c r="K675" s="189">
        <f>+J675-I675</f>
        <v>0.82999999999901775</v>
      </c>
      <c r="L675" s="229" t="s">
        <v>551</v>
      </c>
    </row>
    <row r="676" spans="1:12" s="180" customFormat="1" ht="8.65" customHeight="1" x14ac:dyDescent="0.15">
      <c r="A676" s="187" t="s">
        <v>664</v>
      </c>
      <c r="B676" s="187" t="s">
        <v>1466</v>
      </c>
      <c r="C676" s="187" t="s">
        <v>1467</v>
      </c>
      <c r="D676" s="187" t="s">
        <v>1468</v>
      </c>
      <c r="E676" s="187" t="s">
        <v>205</v>
      </c>
      <c r="F676" s="188"/>
      <c r="G676" s="18"/>
      <c r="H676" s="18">
        <v>2545050</v>
      </c>
      <c r="I676" s="189"/>
      <c r="J676" s="189">
        <f>2545050-H676</f>
        <v>0</v>
      </c>
      <c r="K676" s="189">
        <f t="shared" si="63"/>
        <v>0</v>
      </c>
      <c r="L676" s="229" t="s">
        <v>551</v>
      </c>
    </row>
    <row r="677" spans="1:12" s="180" customFormat="1" ht="8.65" customHeight="1" x14ac:dyDescent="0.15">
      <c r="A677" s="187" t="s">
        <v>664</v>
      </c>
      <c r="B677" s="187" t="s">
        <v>1469</v>
      </c>
      <c r="C677" s="187" t="s">
        <v>1467</v>
      </c>
      <c r="D677" s="187" t="s">
        <v>1470</v>
      </c>
      <c r="E677" s="187" t="s">
        <v>205</v>
      </c>
      <c r="F677" s="188"/>
      <c r="G677" s="18"/>
      <c r="H677" s="18">
        <v>3600000</v>
      </c>
      <c r="I677" s="189"/>
      <c r="J677" s="189">
        <f>3600000-H677</f>
        <v>0</v>
      </c>
      <c r="K677" s="189">
        <f t="shared" si="63"/>
        <v>0</v>
      </c>
      <c r="L677" s="229" t="s">
        <v>551</v>
      </c>
    </row>
    <row r="678" spans="1:12" s="180" customFormat="1" ht="8.65" customHeight="1" x14ac:dyDescent="0.15">
      <c r="A678" s="187" t="s">
        <v>664</v>
      </c>
      <c r="B678" s="187" t="s">
        <v>1471</v>
      </c>
      <c r="C678" s="187" t="s">
        <v>1467</v>
      </c>
      <c r="D678" s="187" t="s">
        <v>1472</v>
      </c>
      <c r="E678" s="187" t="s">
        <v>205</v>
      </c>
      <c r="F678" s="188"/>
      <c r="G678" s="18">
        <v>42450</v>
      </c>
      <c r="H678" s="18"/>
      <c r="I678" s="189">
        <v>2587500</v>
      </c>
      <c r="J678" s="189">
        <f>2545050+G678</f>
        <v>2587500</v>
      </c>
      <c r="K678" s="189">
        <f t="shared" ref="K678:K695" si="65">+J678-I678</f>
        <v>0</v>
      </c>
      <c r="L678" s="229" t="s">
        <v>551</v>
      </c>
    </row>
    <row r="679" spans="1:12" s="180" customFormat="1" ht="8.65" customHeight="1" x14ac:dyDescent="0.15">
      <c r="A679" s="187" t="s">
        <v>664</v>
      </c>
      <c r="B679" s="187" t="s">
        <v>1473</v>
      </c>
      <c r="C679" s="187" t="s">
        <v>1467</v>
      </c>
      <c r="D679" s="187" t="s">
        <v>1474</v>
      </c>
      <c r="E679" s="187"/>
      <c r="F679" s="188"/>
      <c r="G679" s="18"/>
      <c r="H679" s="18">
        <v>760000</v>
      </c>
      <c r="I679" s="189"/>
      <c r="J679" s="189">
        <f>760000-H679</f>
        <v>0</v>
      </c>
      <c r="K679" s="189">
        <f t="shared" si="65"/>
        <v>0</v>
      </c>
      <c r="L679" s="229" t="s">
        <v>551</v>
      </c>
    </row>
    <row r="680" spans="1:12" s="180" customFormat="1" ht="8.65" customHeight="1" x14ac:dyDescent="0.15">
      <c r="A680" s="187" t="s">
        <v>664</v>
      </c>
      <c r="B680" s="187" t="s">
        <v>1475</v>
      </c>
      <c r="C680" s="187" t="s">
        <v>1467</v>
      </c>
      <c r="D680" s="187" t="s">
        <v>1476</v>
      </c>
      <c r="E680" s="187"/>
      <c r="F680" s="188"/>
      <c r="G680" s="18"/>
      <c r="H680" s="18"/>
      <c r="I680" s="189">
        <v>170856</v>
      </c>
      <c r="J680" s="189">
        <v>225000</v>
      </c>
      <c r="K680" s="189">
        <f t="shared" si="65"/>
        <v>54144</v>
      </c>
      <c r="L680" s="229" t="s">
        <v>551</v>
      </c>
    </row>
    <row r="681" spans="1:12" s="180" customFormat="1" ht="8.65" customHeight="1" x14ac:dyDescent="0.15">
      <c r="A681" s="187" t="s">
        <v>664</v>
      </c>
      <c r="B681" s="187" t="s">
        <v>1477</v>
      </c>
      <c r="C681" s="187" t="s">
        <v>1467</v>
      </c>
      <c r="D681" s="187" t="s">
        <v>1478</v>
      </c>
      <c r="E681" s="187"/>
      <c r="F681" s="188"/>
      <c r="G681" s="18"/>
      <c r="H681" s="18"/>
      <c r="I681" s="189">
        <v>50477.1</v>
      </c>
      <c r="J681" s="189">
        <v>100000</v>
      </c>
      <c r="K681" s="189">
        <f t="shared" si="65"/>
        <v>49522.9</v>
      </c>
      <c r="L681" s="229" t="s">
        <v>551</v>
      </c>
    </row>
    <row r="682" spans="1:12" s="180" customFormat="1" ht="8.65" customHeight="1" x14ac:dyDescent="0.15">
      <c r="A682" s="187" t="s">
        <v>664</v>
      </c>
      <c r="B682" s="187" t="s">
        <v>1479</v>
      </c>
      <c r="C682" s="187" t="s">
        <v>1467</v>
      </c>
      <c r="D682" s="187" t="s">
        <v>1480</v>
      </c>
      <c r="E682" s="187" t="s">
        <v>205</v>
      </c>
      <c r="F682" s="188"/>
      <c r="G682" s="18"/>
      <c r="H682" s="18"/>
      <c r="I682" s="189">
        <v>367815</v>
      </c>
      <c r="J682" s="189">
        <v>375000</v>
      </c>
      <c r="K682" s="189">
        <f t="shared" si="65"/>
        <v>7185</v>
      </c>
      <c r="L682" s="229" t="s">
        <v>551</v>
      </c>
    </row>
    <row r="683" spans="1:12" s="180" customFormat="1" ht="8.65" customHeight="1" x14ac:dyDescent="0.15">
      <c r="A683" s="187" t="s">
        <v>664</v>
      </c>
      <c r="B683" s="187" t="s">
        <v>1481</v>
      </c>
      <c r="C683" s="187" t="s">
        <v>1467</v>
      </c>
      <c r="D683" s="187" t="s">
        <v>1482</v>
      </c>
      <c r="E683" s="187" t="s">
        <v>205</v>
      </c>
      <c r="F683" s="188"/>
      <c r="G683" s="18"/>
      <c r="H683" s="18">
        <v>150767.76999999999</v>
      </c>
      <c r="I683" s="189">
        <v>3338000</v>
      </c>
      <c r="J683" s="189">
        <f>3696834-H683</f>
        <v>3546066.23</v>
      </c>
      <c r="K683" s="189">
        <f t="shared" si="65"/>
        <v>208066.22999999998</v>
      </c>
      <c r="L683" s="229" t="s">
        <v>551</v>
      </c>
    </row>
    <row r="684" spans="1:12" s="180" customFormat="1" ht="8.65" customHeight="1" x14ac:dyDescent="0.15">
      <c r="A684" s="187" t="s">
        <v>664</v>
      </c>
      <c r="B684" s="187" t="s">
        <v>1483</v>
      </c>
      <c r="C684" s="187" t="s">
        <v>1467</v>
      </c>
      <c r="D684" s="187" t="s">
        <v>1484</v>
      </c>
      <c r="E684" s="187" t="s">
        <v>205</v>
      </c>
      <c r="F684" s="188"/>
      <c r="G684" s="18">
        <v>239334.21</v>
      </c>
      <c r="H684" s="18"/>
      <c r="I684" s="189">
        <v>239334.21</v>
      </c>
      <c r="J684" s="189">
        <v>239334.21</v>
      </c>
      <c r="K684" s="189">
        <f t="shared" si="65"/>
        <v>0</v>
      </c>
      <c r="L684" s="229" t="s">
        <v>551</v>
      </c>
    </row>
    <row r="685" spans="1:12" s="180" customFormat="1" ht="8.65" customHeight="1" x14ac:dyDescent="0.15">
      <c r="A685" s="187" t="s">
        <v>664</v>
      </c>
      <c r="B685" s="187" t="s">
        <v>1485</v>
      </c>
      <c r="C685" s="187" t="s">
        <v>1467</v>
      </c>
      <c r="D685" s="187" t="s">
        <v>1486</v>
      </c>
      <c r="E685" s="187" t="s">
        <v>205</v>
      </c>
      <c r="F685" s="188"/>
      <c r="G685" s="18">
        <v>500158.34</v>
      </c>
      <c r="H685" s="18"/>
      <c r="I685" s="189">
        <v>514107.29</v>
      </c>
      <c r="J685" s="189">
        <f>99841.66+G685</f>
        <v>600000</v>
      </c>
      <c r="K685" s="189">
        <f t="shared" si="65"/>
        <v>85892.710000000021</v>
      </c>
      <c r="L685" s="229" t="s">
        <v>551</v>
      </c>
    </row>
    <row r="686" spans="1:12" s="180" customFormat="1" ht="8.65" customHeight="1" x14ac:dyDescent="0.15">
      <c r="A686" s="187" t="s">
        <v>664</v>
      </c>
      <c r="B686" s="187" t="s">
        <v>1487</v>
      </c>
      <c r="C686" s="187" t="s">
        <v>1467</v>
      </c>
      <c r="D686" s="187" t="s">
        <v>1488</v>
      </c>
      <c r="E686" s="187" t="s">
        <v>205</v>
      </c>
      <c r="F686" s="188"/>
      <c r="G686" s="18"/>
      <c r="H686" s="18"/>
      <c r="I686" s="189">
        <v>652859.76</v>
      </c>
      <c r="J686" s="189">
        <v>800000</v>
      </c>
      <c r="K686" s="189">
        <f t="shared" si="65"/>
        <v>147140.24</v>
      </c>
      <c r="L686" s="229" t="s">
        <v>551</v>
      </c>
    </row>
    <row r="687" spans="1:12" s="180" customFormat="1" ht="8.65" customHeight="1" x14ac:dyDescent="0.15">
      <c r="A687" s="187" t="s">
        <v>664</v>
      </c>
      <c r="B687" s="187" t="s">
        <v>1489</v>
      </c>
      <c r="C687" s="187" t="s">
        <v>1467</v>
      </c>
      <c r="D687" s="187" t="s">
        <v>1490</v>
      </c>
      <c r="E687" s="187" t="s">
        <v>205</v>
      </c>
      <c r="F687" s="188"/>
      <c r="G687" s="18"/>
      <c r="H687" s="18"/>
      <c r="I687" s="189">
        <v>135834.89000000001</v>
      </c>
      <c r="J687" s="189">
        <v>175000</v>
      </c>
      <c r="K687" s="189">
        <f t="shared" si="65"/>
        <v>39165.109999999986</v>
      </c>
      <c r="L687" s="229" t="s">
        <v>551</v>
      </c>
    </row>
    <row r="688" spans="1:12" s="180" customFormat="1" ht="8.65" customHeight="1" x14ac:dyDescent="0.15">
      <c r="A688" s="187" t="s">
        <v>664</v>
      </c>
      <c r="B688" s="187" t="s">
        <v>1491</v>
      </c>
      <c r="C688" s="187" t="s">
        <v>1467</v>
      </c>
      <c r="D688" s="187" t="s">
        <v>1492</v>
      </c>
      <c r="E688" s="187" t="s">
        <v>205</v>
      </c>
      <c r="F688" s="188"/>
      <c r="G688" s="18"/>
      <c r="H688" s="18"/>
      <c r="I688" s="189">
        <v>1318058.56</v>
      </c>
      <c r="J688" s="189">
        <v>1318058.56</v>
      </c>
      <c r="K688" s="189">
        <f t="shared" si="65"/>
        <v>0</v>
      </c>
      <c r="L688" s="229" t="s">
        <v>551</v>
      </c>
    </row>
    <row r="689" spans="1:12" s="180" customFormat="1" ht="8.65" customHeight="1" x14ac:dyDescent="0.15">
      <c r="A689" s="187" t="s">
        <v>664</v>
      </c>
      <c r="B689" s="187" t="s">
        <v>1493</v>
      </c>
      <c r="C689" s="187" t="s">
        <v>1467</v>
      </c>
      <c r="D689" s="187" t="s">
        <v>1494</v>
      </c>
      <c r="E689" s="187" t="s">
        <v>205</v>
      </c>
      <c r="F689" s="188"/>
      <c r="G689" s="18"/>
      <c r="H689" s="18"/>
      <c r="I689" s="189">
        <v>56261.71</v>
      </c>
      <c r="J689" s="189">
        <v>60000</v>
      </c>
      <c r="K689" s="189">
        <f t="shared" si="65"/>
        <v>3738.2900000000009</v>
      </c>
      <c r="L689" s="229" t="s">
        <v>551</v>
      </c>
    </row>
    <row r="690" spans="1:12" s="180" customFormat="1" ht="8.65" customHeight="1" x14ac:dyDescent="0.15">
      <c r="A690" s="187" t="s">
        <v>664</v>
      </c>
      <c r="B690" s="187" t="s">
        <v>1495</v>
      </c>
      <c r="C690" s="187" t="s">
        <v>1467</v>
      </c>
      <c r="D690" s="187" t="s">
        <v>1496</v>
      </c>
      <c r="E690" s="187" t="s">
        <v>205</v>
      </c>
      <c r="F690" s="188"/>
      <c r="G690" s="18"/>
      <c r="H690" s="18"/>
      <c r="I690" s="189">
        <v>537416.69999999995</v>
      </c>
      <c r="J690" s="189">
        <v>575000</v>
      </c>
      <c r="K690" s="189">
        <f t="shared" si="65"/>
        <v>37583.300000000047</v>
      </c>
      <c r="L690" s="229" t="s">
        <v>551</v>
      </c>
    </row>
    <row r="691" spans="1:12" s="180" customFormat="1" ht="8.65" customHeight="1" x14ac:dyDescent="0.15">
      <c r="A691" s="187" t="s">
        <v>664</v>
      </c>
      <c r="B691" s="187" t="s">
        <v>1497</v>
      </c>
      <c r="C691" s="187" t="s">
        <v>1467</v>
      </c>
      <c r="D691" s="187" t="s">
        <v>1498</v>
      </c>
      <c r="E691" s="187" t="s">
        <v>205</v>
      </c>
      <c r="F691" s="188"/>
      <c r="G691" s="18"/>
      <c r="H691" s="18"/>
      <c r="I691" s="189">
        <v>488577.17</v>
      </c>
      <c r="J691" s="189">
        <v>555000</v>
      </c>
      <c r="K691" s="189">
        <f t="shared" si="65"/>
        <v>66422.830000000016</v>
      </c>
      <c r="L691" s="229" t="s">
        <v>551</v>
      </c>
    </row>
    <row r="692" spans="1:12" s="180" customFormat="1" ht="8.65" customHeight="1" x14ac:dyDescent="0.15">
      <c r="A692" s="187" t="s">
        <v>664</v>
      </c>
      <c r="B692" s="187" t="s">
        <v>1499</v>
      </c>
      <c r="C692" s="187" t="s">
        <v>1467</v>
      </c>
      <c r="D692" s="187" t="s">
        <v>1500</v>
      </c>
      <c r="E692" s="187" t="s">
        <v>205</v>
      </c>
      <c r="F692" s="188"/>
      <c r="G692" s="18"/>
      <c r="H692" s="18">
        <v>195000</v>
      </c>
      <c r="I692" s="189"/>
      <c r="J692" s="189">
        <f>195000-H692</f>
        <v>0</v>
      </c>
      <c r="K692" s="189">
        <f t="shared" si="65"/>
        <v>0</v>
      </c>
      <c r="L692" s="229" t="s">
        <v>551</v>
      </c>
    </row>
    <row r="693" spans="1:12" s="180" customFormat="1" ht="8.65" customHeight="1" x14ac:dyDescent="0.15">
      <c r="A693" s="187" t="s">
        <v>664</v>
      </c>
      <c r="B693" s="187" t="s">
        <v>1501</v>
      </c>
      <c r="C693" s="187" t="s">
        <v>1467</v>
      </c>
      <c r="D693" s="187" t="s">
        <v>1502</v>
      </c>
      <c r="E693" s="187" t="s">
        <v>205</v>
      </c>
      <c r="F693" s="188"/>
      <c r="G693" s="18"/>
      <c r="H693" s="18"/>
      <c r="I693" s="189">
        <v>94264.66</v>
      </c>
      <c r="J693" s="189">
        <v>120000</v>
      </c>
      <c r="K693" s="189">
        <f t="shared" si="65"/>
        <v>25735.339999999997</v>
      </c>
      <c r="L693" s="229" t="s">
        <v>551</v>
      </c>
    </row>
    <row r="694" spans="1:12" s="180" customFormat="1" ht="8.65" customHeight="1" x14ac:dyDescent="0.15">
      <c r="A694" s="187" t="s">
        <v>664</v>
      </c>
      <c r="B694" s="187" t="s">
        <v>1503</v>
      </c>
      <c r="C694" s="187" t="s">
        <v>1467</v>
      </c>
      <c r="D694" s="187" t="s">
        <v>1504</v>
      </c>
      <c r="E694" s="187" t="s">
        <v>205</v>
      </c>
      <c r="F694" s="188"/>
      <c r="G694" s="18"/>
      <c r="H694" s="18"/>
      <c r="I694" s="189">
        <v>65985.27</v>
      </c>
      <c r="J694" s="189">
        <v>90000</v>
      </c>
      <c r="K694" s="189">
        <f t="shared" si="65"/>
        <v>24014.729999999996</v>
      </c>
      <c r="L694" s="229" t="s">
        <v>551</v>
      </c>
    </row>
    <row r="695" spans="1:12" s="180" customFormat="1" ht="8.65" customHeight="1" x14ac:dyDescent="0.15">
      <c r="A695" s="187" t="s">
        <v>664</v>
      </c>
      <c r="B695" s="187" t="s">
        <v>1505</v>
      </c>
      <c r="C695" s="187" t="s">
        <v>1467</v>
      </c>
      <c r="D695" s="187" t="s">
        <v>1506</v>
      </c>
      <c r="E695" s="187" t="s">
        <v>205</v>
      </c>
      <c r="F695" s="188"/>
      <c r="G695" s="18"/>
      <c r="H695" s="18"/>
      <c r="I695" s="189">
        <v>13917.67</v>
      </c>
      <c r="J695" s="189">
        <v>15000</v>
      </c>
      <c r="K695" s="189">
        <f t="shared" si="65"/>
        <v>1082.33</v>
      </c>
      <c r="L695" s="229" t="s">
        <v>551</v>
      </c>
    </row>
    <row r="696" spans="1:12" s="180" customFormat="1" ht="8.65" customHeight="1" x14ac:dyDescent="0.15">
      <c r="A696" s="187" t="s">
        <v>664</v>
      </c>
      <c r="B696" s="187" t="s">
        <v>1507</v>
      </c>
      <c r="C696" s="187" t="s">
        <v>1467</v>
      </c>
      <c r="D696" s="187" t="s">
        <v>1508</v>
      </c>
      <c r="E696" s="187" t="s">
        <v>205</v>
      </c>
      <c r="F696" s="188"/>
      <c r="G696" s="18"/>
      <c r="H696" s="18"/>
      <c r="I696" s="189"/>
      <c r="J696" s="189">
        <v>48000</v>
      </c>
      <c r="K696" s="189">
        <f t="shared" si="63"/>
        <v>48000</v>
      </c>
      <c r="L696" s="229" t="s">
        <v>551</v>
      </c>
    </row>
    <row r="697" spans="1:12" s="180" customFormat="1" ht="8.65" customHeight="1" x14ac:dyDescent="0.15">
      <c r="A697" s="187" t="s">
        <v>664</v>
      </c>
      <c r="B697" s="187" t="s">
        <v>1509</v>
      </c>
      <c r="C697" s="187" t="s">
        <v>1467</v>
      </c>
      <c r="D697" s="187" t="s">
        <v>1510</v>
      </c>
      <c r="E697" s="187" t="s">
        <v>205</v>
      </c>
      <c r="F697" s="188"/>
      <c r="G697" s="18"/>
      <c r="H697" s="18"/>
      <c r="I697" s="189">
        <v>31879.74</v>
      </c>
      <c r="J697" s="189">
        <v>36000</v>
      </c>
      <c r="K697" s="189">
        <f t="shared" ref="K697:K706" si="66">+J697-I697</f>
        <v>4120.2599999999984</v>
      </c>
      <c r="L697" s="229" t="s">
        <v>551</v>
      </c>
    </row>
    <row r="698" spans="1:12" s="180" customFormat="1" ht="8.65" customHeight="1" x14ac:dyDescent="0.15">
      <c r="A698" s="187" t="s">
        <v>664</v>
      </c>
      <c r="B698" s="187" t="s">
        <v>1511</v>
      </c>
      <c r="C698" s="187" t="s">
        <v>1467</v>
      </c>
      <c r="D698" s="187" t="s">
        <v>1512</v>
      </c>
      <c r="E698" s="187" t="s">
        <v>205</v>
      </c>
      <c r="F698" s="188"/>
      <c r="G698" s="18"/>
      <c r="H698" s="18"/>
      <c r="I698" s="189">
        <v>273200.59000000003</v>
      </c>
      <c r="J698" s="189">
        <v>300000</v>
      </c>
      <c r="K698" s="189">
        <f t="shared" si="66"/>
        <v>26799.409999999974</v>
      </c>
      <c r="L698" s="229" t="s">
        <v>551</v>
      </c>
    </row>
    <row r="699" spans="1:12" s="180" customFormat="1" ht="8.65" customHeight="1" x14ac:dyDescent="0.15">
      <c r="A699" s="187" t="s">
        <v>664</v>
      </c>
      <c r="B699" s="187" t="s">
        <v>1513</v>
      </c>
      <c r="C699" s="187" t="s">
        <v>1467</v>
      </c>
      <c r="D699" s="187" t="s">
        <v>1514</v>
      </c>
      <c r="E699" s="187" t="s">
        <v>205</v>
      </c>
      <c r="F699" s="188"/>
      <c r="G699" s="18"/>
      <c r="H699" s="18"/>
      <c r="I699" s="189">
        <v>232250.41</v>
      </c>
      <c r="J699" s="189">
        <v>240000</v>
      </c>
      <c r="K699" s="189">
        <f t="shared" si="66"/>
        <v>7749.5899999999965</v>
      </c>
      <c r="L699" s="229" t="s">
        <v>551</v>
      </c>
    </row>
    <row r="700" spans="1:12" s="180" customFormat="1" ht="8.65" customHeight="1" x14ac:dyDescent="0.15">
      <c r="A700" s="187" t="s">
        <v>664</v>
      </c>
      <c r="B700" s="187" t="s">
        <v>1515</v>
      </c>
      <c r="C700" s="187" t="s">
        <v>1467</v>
      </c>
      <c r="D700" s="187" t="s">
        <v>1516</v>
      </c>
      <c r="E700" s="187" t="s">
        <v>205</v>
      </c>
      <c r="F700" s="188"/>
      <c r="G700" s="18"/>
      <c r="H700" s="18"/>
      <c r="I700" s="189">
        <v>87181.08</v>
      </c>
      <c r="J700" s="189">
        <v>100000</v>
      </c>
      <c r="K700" s="189">
        <f t="shared" si="66"/>
        <v>12818.919999999998</v>
      </c>
      <c r="L700" s="229" t="s">
        <v>551</v>
      </c>
    </row>
    <row r="701" spans="1:12" s="180" customFormat="1" ht="8.65" customHeight="1" x14ac:dyDescent="0.15">
      <c r="A701" s="187" t="s">
        <v>664</v>
      </c>
      <c r="B701" s="187" t="s">
        <v>1517</v>
      </c>
      <c r="C701" s="187" t="s">
        <v>1467</v>
      </c>
      <c r="D701" s="187" t="s">
        <v>1518</v>
      </c>
      <c r="E701" s="187" t="s">
        <v>205</v>
      </c>
      <c r="F701" s="188"/>
      <c r="G701" s="18"/>
      <c r="H701" s="18">
        <v>112500</v>
      </c>
      <c r="I701" s="189"/>
      <c r="J701" s="189">
        <f>112500-H701</f>
        <v>0</v>
      </c>
      <c r="K701" s="189">
        <f t="shared" si="66"/>
        <v>0</v>
      </c>
      <c r="L701" s="229" t="s">
        <v>551</v>
      </c>
    </row>
    <row r="702" spans="1:12" s="180" customFormat="1" ht="8.65" customHeight="1" x14ac:dyDescent="0.15">
      <c r="A702" s="187" t="s">
        <v>664</v>
      </c>
      <c r="B702" s="187" t="s">
        <v>1519</v>
      </c>
      <c r="C702" s="187" t="s">
        <v>1467</v>
      </c>
      <c r="D702" s="187" t="s">
        <v>1520</v>
      </c>
      <c r="E702" s="187" t="s">
        <v>205</v>
      </c>
      <c r="F702" s="188"/>
      <c r="G702" s="18"/>
      <c r="H702" s="18"/>
      <c r="I702" s="189">
        <v>347475</v>
      </c>
      <c r="J702" s="189">
        <v>350000</v>
      </c>
      <c r="K702" s="189">
        <f t="shared" si="66"/>
        <v>2525</v>
      </c>
      <c r="L702" s="229" t="s">
        <v>551</v>
      </c>
    </row>
    <row r="703" spans="1:12" s="180" customFormat="1" ht="8.25" x14ac:dyDescent="0.15">
      <c r="A703" s="187" t="s">
        <v>664</v>
      </c>
      <c r="B703" s="187" t="s">
        <v>1521</v>
      </c>
      <c r="C703" s="187" t="s">
        <v>1467</v>
      </c>
      <c r="D703" s="187" t="s">
        <v>1522</v>
      </c>
      <c r="E703" s="187" t="s">
        <v>205</v>
      </c>
      <c r="F703" s="188"/>
      <c r="G703" s="18"/>
      <c r="H703" s="18"/>
      <c r="I703" s="189">
        <v>509483.1</v>
      </c>
      <c r="J703" s="189">
        <v>525000</v>
      </c>
      <c r="K703" s="189">
        <f t="shared" si="66"/>
        <v>15516.900000000023</v>
      </c>
      <c r="L703" s="229" t="s">
        <v>551</v>
      </c>
    </row>
    <row r="704" spans="1:12" s="180" customFormat="1" ht="8.65" customHeight="1" x14ac:dyDescent="0.15">
      <c r="A704" s="187" t="s">
        <v>664</v>
      </c>
      <c r="B704" s="187" t="s">
        <v>1523</v>
      </c>
      <c r="C704" s="187" t="s">
        <v>1467</v>
      </c>
      <c r="D704" s="187" t="s">
        <v>1524</v>
      </c>
      <c r="E704" s="187" t="s">
        <v>205</v>
      </c>
      <c r="F704" s="188"/>
      <c r="G704" s="18"/>
      <c r="H704" s="18"/>
      <c r="I704" s="189">
        <v>58929.05</v>
      </c>
      <c r="J704" s="189">
        <v>72000</v>
      </c>
      <c r="K704" s="189">
        <f t="shared" si="66"/>
        <v>13070.949999999997</v>
      </c>
      <c r="L704" s="229" t="s">
        <v>551</v>
      </c>
    </row>
    <row r="705" spans="1:12" s="180" customFormat="1" ht="8.65" customHeight="1" x14ac:dyDescent="0.15">
      <c r="A705" s="187" t="s">
        <v>664</v>
      </c>
      <c r="B705" s="187" t="s">
        <v>1525</v>
      </c>
      <c r="C705" s="187" t="s">
        <v>864</v>
      </c>
      <c r="D705" s="187" t="s">
        <v>1526</v>
      </c>
      <c r="E705" s="187" t="s">
        <v>205</v>
      </c>
      <c r="F705" s="188"/>
      <c r="G705" s="18">
        <f>+J705</f>
        <v>130000</v>
      </c>
      <c r="H705" s="18"/>
      <c r="I705" s="189">
        <v>91557.119999999995</v>
      </c>
      <c r="J705" s="189">
        <v>130000</v>
      </c>
      <c r="K705" s="189">
        <f t="shared" si="66"/>
        <v>38442.880000000005</v>
      </c>
      <c r="L705" s="229" t="s">
        <v>551</v>
      </c>
    </row>
    <row r="706" spans="1:12" s="180" customFormat="1" ht="8.65" customHeight="1" x14ac:dyDescent="0.15">
      <c r="A706" s="187" t="s">
        <v>664</v>
      </c>
      <c r="B706" s="187" t="s">
        <v>1527</v>
      </c>
      <c r="C706" s="187" t="s">
        <v>864</v>
      </c>
      <c r="D706" s="187" t="s">
        <v>1528</v>
      </c>
      <c r="E706" s="187" t="s">
        <v>205</v>
      </c>
      <c r="F706" s="188"/>
      <c r="G706" s="18">
        <f>+J706</f>
        <v>200000</v>
      </c>
      <c r="H706" s="18"/>
      <c r="I706" s="189">
        <v>114446.39999999999</v>
      </c>
      <c r="J706" s="189">
        <v>200000</v>
      </c>
      <c r="K706" s="189">
        <f t="shared" si="66"/>
        <v>85553.600000000006</v>
      </c>
      <c r="L706" s="229" t="s">
        <v>551</v>
      </c>
    </row>
    <row r="707" spans="1:12" s="180" customFormat="1" ht="8.65" customHeight="1" x14ac:dyDescent="0.15">
      <c r="A707" s="187" t="s">
        <v>664</v>
      </c>
      <c r="B707" s="187" t="s">
        <v>1529</v>
      </c>
      <c r="C707" s="187" t="s">
        <v>1530</v>
      </c>
      <c r="D707" s="187" t="s">
        <v>1531</v>
      </c>
      <c r="E707" s="187" t="s">
        <v>205</v>
      </c>
      <c r="F707" s="188"/>
      <c r="G707" s="18"/>
      <c r="H707" s="18"/>
      <c r="I707" s="189"/>
      <c r="J707" s="189">
        <v>0</v>
      </c>
      <c r="K707" s="189">
        <f t="shared" si="63"/>
        <v>0</v>
      </c>
      <c r="L707" s="229" t="s">
        <v>551</v>
      </c>
    </row>
    <row r="708" spans="1:12" s="180" customFormat="1" ht="8.65" customHeight="1" x14ac:dyDescent="0.15">
      <c r="A708" s="187" t="s">
        <v>664</v>
      </c>
      <c r="B708" s="187" t="s">
        <v>1532</v>
      </c>
      <c r="C708" s="187" t="s">
        <v>1530</v>
      </c>
      <c r="D708" s="187" t="s">
        <v>1533</v>
      </c>
      <c r="E708" s="187" t="s">
        <v>205</v>
      </c>
      <c r="F708" s="188"/>
      <c r="G708" s="18"/>
      <c r="H708" s="18">
        <v>100000</v>
      </c>
      <c r="I708" s="189"/>
      <c r="J708" s="189">
        <f>730000-H708</f>
        <v>630000</v>
      </c>
      <c r="K708" s="189">
        <f t="shared" si="63"/>
        <v>630000</v>
      </c>
      <c r="L708" s="190" t="s">
        <v>1534</v>
      </c>
    </row>
    <row r="709" spans="1:12" s="180" customFormat="1" ht="8.65" customHeight="1" x14ac:dyDescent="0.15">
      <c r="A709" s="187" t="s">
        <v>664</v>
      </c>
      <c r="B709" s="187" t="s">
        <v>1535</v>
      </c>
      <c r="C709" s="187" t="s">
        <v>673</v>
      </c>
      <c r="D709" s="187" t="s">
        <v>1536</v>
      </c>
      <c r="E709" s="187" t="s">
        <v>205</v>
      </c>
      <c r="F709" s="188"/>
      <c r="G709" s="18">
        <v>8203.7999999999993</v>
      </c>
      <c r="H709" s="18"/>
      <c r="I709" s="189">
        <v>8203.7999999999993</v>
      </c>
      <c r="J709" s="189">
        <v>8203.7999999999993</v>
      </c>
      <c r="K709" s="189">
        <f>+J709-I709</f>
        <v>0</v>
      </c>
      <c r="L709" s="190" t="s">
        <v>551</v>
      </c>
    </row>
    <row r="710" spans="1:12" s="180" customFormat="1" ht="8.65" customHeight="1" x14ac:dyDescent="0.15">
      <c r="A710" s="187" t="s">
        <v>664</v>
      </c>
      <c r="B710" s="187" t="s">
        <v>1537</v>
      </c>
      <c r="C710" s="187" t="s">
        <v>673</v>
      </c>
      <c r="D710" s="187" t="s">
        <v>1538</v>
      </c>
      <c r="E710" s="187" t="s">
        <v>205</v>
      </c>
      <c r="F710" s="188"/>
      <c r="G710" s="18"/>
      <c r="H710" s="18">
        <v>386000</v>
      </c>
      <c r="I710" s="189"/>
      <c r="J710" s="189">
        <f>386000-H710</f>
        <v>0</v>
      </c>
      <c r="K710" s="189">
        <f t="shared" si="63"/>
        <v>0</v>
      </c>
      <c r="L710" s="190" t="s">
        <v>551</v>
      </c>
    </row>
    <row r="711" spans="1:12" s="180" customFormat="1" ht="8.65" customHeight="1" x14ac:dyDescent="0.15">
      <c r="A711" s="187" t="s">
        <v>664</v>
      </c>
      <c r="B711" s="187" t="s">
        <v>1539</v>
      </c>
      <c r="C711" s="187" t="s">
        <v>673</v>
      </c>
      <c r="D711" s="187" t="s">
        <v>1540</v>
      </c>
      <c r="E711" s="187" t="s">
        <v>205</v>
      </c>
      <c r="F711" s="188"/>
      <c r="G711" s="18">
        <v>40000</v>
      </c>
      <c r="H711" s="18"/>
      <c r="I711" s="189">
        <v>39978.35</v>
      </c>
      <c r="J711" s="189">
        <v>40000</v>
      </c>
      <c r="K711" s="189">
        <f>+J711-I711</f>
        <v>21.650000000001455</v>
      </c>
      <c r="L711" s="190" t="s">
        <v>1541</v>
      </c>
    </row>
    <row r="712" spans="1:12" s="211" customFormat="1" ht="8.65" customHeight="1" x14ac:dyDescent="0.15">
      <c r="A712" s="187" t="s">
        <v>664</v>
      </c>
      <c r="B712" s="187" t="s">
        <v>1542</v>
      </c>
      <c r="C712" s="187" t="s">
        <v>942</v>
      </c>
      <c r="D712" s="187" t="s">
        <v>1543</v>
      </c>
      <c r="E712" s="187" t="s">
        <v>205</v>
      </c>
      <c r="F712" s="188"/>
      <c r="G712" s="18">
        <v>485900</v>
      </c>
      <c r="H712" s="18">
        <v>144188</v>
      </c>
      <c r="I712" s="189">
        <v>341712</v>
      </c>
      <c r="J712" s="189">
        <f>485900-H712</f>
        <v>341712</v>
      </c>
      <c r="K712" s="189">
        <f>+J712-I712</f>
        <v>0</v>
      </c>
      <c r="L712" s="190" t="s">
        <v>551</v>
      </c>
    </row>
    <row r="713" spans="1:12" s="211" customFormat="1" ht="8.65" customHeight="1" x14ac:dyDescent="0.15">
      <c r="A713" s="187" t="s">
        <v>664</v>
      </c>
      <c r="B713" s="187" t="s">
        <v>1544</v>
      </c>
      <c r="C713" s="187" t="s">
        <v>942</v>
      </c>
      <c r="D713" s="187" t="s">
        <v>1545</v>
      </c>
      <c r="E713" s="187" t="s">
        <v>205</v>
      </c>
      <c r="F713" s="188"/>
      <c r="G713" s="18">
        <v>409017</v>
      </c>
      <c r="H713" s="18"/>
      <c r="I713" s="189">
        <v>305100</v>
      </c>
      <c r="J713" s="189">
        <v>409017</v>
      </c>
      <c r="K713" s="189">
        <f>+J713-I713</f>
        <v>103917</v>
      </c>
      <c r="L713" s="190" t="s">
        <v>1546</v>
      </c>
    </row>
    <row r="714" spans="1:12" s="180" customFormat="1" ht="8.65" customHeight="1" x14ac:dyDescent="0.15">
      <c r="A714" s="187" t="s">
        <v>664</v>
      </c>
      <c r="B714" s="187" t="s">
        <v>1547</v>
      </c>
      <c r="C714" s="187" t="s">
        <v>942</v>
      </c>
      <c r="D714" s="187" t="s">
        <v>1548</v>
      </c>
      <c r="E714" s="187" t="s">
        <v>205</v>
      </c>
      <c r="F714" s="188"/>
      <c r="G714" s="18"/>
      <c r="H714" s="18">
        <v>409</v>
      </c>
      <c r="I714" s="189"/>
      <c r="J714" s="189">
        <f>6825-H714</f>
        <v>6416</v>
      </c>
      <c r="K714" s="189">
        <f t="shared" si="63"/>
        <v>6416</v>
      </c>
      <c r="L714" s="190" t="s">
        <v>1546</v>
      </c>
    </row>
    <row r="715" spans="1:12" s="180" customFormat="1" ht="8.65" customHeight="1" x14ac:dyDescent="0.15">
      <c r="A715" s="187" t="s">
        <v>664</v>
      </c>
      <c r="B715" s="187" t="s">
        <v>1549</v>
      </c>
      <c r="C715" s="187" t="s">
        <v>673</v>
      </c>
      <c r="D715" s="187" t="s">
        <v>1550</v>
      </c>
      <c r="E715" s="187" t="s">
        <v>205</v>
      </c>
      <c r="F715" s="188"/>
      <c r="G715" s="18"/>
      <c r="H715" s="18">
        <v>4300</v>
      </c>
      <c r="I715" s="189">
        <v>56776.57</v>
      </c>
      <c r="J715" s="189">
        <f>71400-H715</f>
        <v>67100</v>
      </c>
      <c r="K715" s="189">
        <f>+J715-I715</f>
        <v>10323.43</v>
      </c>
      <c r="L715" s="190" t="s">
        <v>1546</v>
      </c>
    </row>
    <row r="716" spans="1:12" s="180" customFormat="1" ht="8.65" customHeight="1" x14ac:dyDescent="0.15">
      <c r="A716" s="187" t="s">
        <v>664</v>
      </c>
      <c r="B716" s="187" t="s">
        <v>1551</v>
      </c>
      <c r="C716" s="187" t="s">
        <v>673</v>
      </c>
      <c r="D716" s="187" t="s">
        <v>1552</v>
      </c>
      <c r="E716" s="187" t="s">
        <v>205</v>
      </c>
      <c r="F716" s="188"/>
      <c r="G716" s="18"/>
      <c r="H716" s="18"/>
      <c r="I716" s="189"/>
      <c r="J716" s="189">
        <v>168000</v>
      </c>
      <c r="K716" s="189">
        <f t="shared" ref="K716:K779" si="67">+J716-I$632</f>
        <v>168000</v>
      </c>
      <c r="L716" s="190" t="s">
        <v>1546</v>
      </c>
    </row>
    <row r="717" spans="1:12" s="180" customFormat="1" ht="8.25" x14ac:dyDescent="0.15">
      <c r="A717" s="187" t="s">
        <v>664</v>
      </c>
      <c r="B717" s="187" t="s">
        <v>1553</v>
      </c>
      <c r="C717" s="187" t="s">
        <v>673</v>
      </c>
      <c r="D717" s="187" t="s">
        <v>1554</v>
      </c>
      <c r="E717" s="187" t="s">
        <v>205</v>
      </c>
      <c r="F717" s="188"/>
      <c r="G717" s="18"/>
      <c r="H717" s="18">
        <v>10385</v>
      </c>
      <c r="I717" s="189">
        <f>123459.28+46297.23</f>
        <v>169756.51</v>
      </c>
      <c r="J717" s="189">
        <f>183750-H717</f>
        <v>173365</v>
      </c>
      <c r="K717" s="189">
        <f>+J717-I717</f>
        <v>3608.4899999999907</v>
      </c>
      <c r="L717" s="190" t="s">
        <v>1546</v>
      </c>
    </row>
    <row r="718" spans="1:12" s="211" customFormat="1" ht="8.65" customHeight="1" x14ac:dyDescent="0.15">
      <c r="A718" s="187" t="s">
        <v>664</v>
      </c>
      <c r="B718" s="187" t="s">
        <v>1555</v>
      </c>
      <c r="C718" s="187" t="s">
        <v>942</v>
      </c>
      <c r="D718" s="187" t="s">
        <v>1556</v>
      </c>
      <c r="E718" s="187" t="s">
        <v>205</v>
      </c>
      <c r="F718" s="188"/>
      <c r="G718" s="18"/>
      <c r="H718" s="18">
        <v>356000</v>
      </c>
      <c r="I718" s="189"/>
      <c r="J718" s="189">
        <v>0</v>
      </c>
      <c r="K718" s="189">
        <f t="shared" si="67"/>
        <v>0</v>
      </c>
      <c r="L718" s="190" t="s">
        <v>1557</v>
      </c>
    </row>
    <row r="719" spans="1:12" s="180" customFormat="1" ht="8.65" customHeight="1" x14ac:dyDescent="0.15">
      <c r="A719" s="187" t="s">
        <v>664</v>
      </c>
      <c r="B719" s="187" t="s">
        <v>1294</v>
      </c>
      <c r="C719" s="187" t="s">
        <v>942</v>
      </c>
      <c r="D719" s="187" t="s">
        <v>1295</v>
      </c>
      <c r="E719" s="187" t="s">
        <v>205</v>
      </c>
      <c r="F719" s="188"/>
      <c r="G719" s="18"/>
      <c r="H719" s="18"/>
      <c r="I719" s="189"/>
      <c r="J719" s="189">
        <v>485000</v>
      </c>
      <c r="K719" s="189">
        <f t="shared" si="67"/>
        <v>485000</v>
      </c>
      <c r="L719" s="190" t="s">
        <v>551</v>
      </c>
    </row>
    <row r="720" spans="1:12" s="180" customFormat="1" ht="8.65" customHeight="1" x14ac:dyDescent="0.15">
      <c r="A720" s="187" t="s">
        <v>664</v>
      </c>
      <c r="B720" s="187" t="s">
        <v>1558</v>
      </c>
      <c r="C720" s="187" t="s">
        <v>942</v>
      </c>
      <c r="D720" s="187" t="s">
        <v>1559</v>
      </c>
      <c r="E720" s="187" t="s">
        <v>205</v>
      </c>
      <c r="F720" s="188"/>
      <c r="G720" s="18"/>
      <c r="H720" s="18">
        <f>300000+607564</f>
        <v>907564</v>
      </c>
      <c r="I720" s="189"/>
      <c r="J720" s="189">
        <f>2495100-H720</f>
        <v>1587536</v>
      </c>
      <c r="K720" s="189">
        <f t="shared" si="67"/>
        <v>1587536</v>
      </c>
      <c r="L720" s="190" t="s">
        <v>1560</v>
      </c>
    </row>
    <row r="721" spans="1:12" s="180" customFormat="1" ht="8.65" customHeight="1" x14ac:dyDescent="0.15">
      <c r="A721" s="187" t="s">
        <v>664</v>
      </c>
      <c r="B721" s="187" t="s">
        <v>678</v>
      </c>
      <c r="C721" s="187" t="s">
        <v>676</v>
      </c>
      <c r="D721" s="187" t="s">
        <v>679</v>
      </c>
      <c r="E721" s="187" t="s">
        <v>205</v>
      </c>
      <c r="F721" s="188"/>
      <c r="G721" s="18"/>
      <c r="H721" s="18">
        <f>12635+14140</f>
        <v>26775</v>
      </c>
      <c r="I721" s="189"/>
      <c r="J721" s="189">
        <f>26775-H$721</f>
        <v>0</v>
      </c>
      <c r="K721" s="189">
        <f t="shared" si="67"/>
        <v>0</v>
      </c>
      <c r="L721" s="190" t="s">
        <v>1561</v>
      </c>
    </row>
    <row r="722" spans="1:12" s="180" customFormat="1" ht="8.65" customHeight="1" x14ac:dyDescent="0.15">
      <c r="A722" s="187" t="s">
        <v>664</v>
      </c>
      <c r="B722" s="187" t="s">
        <v>680</v>
      </c>
      <c r="C722" s="187" t="s">
        <v>676</v>
      </c>
      <c r="D722" s="187" t="s">
        <v>1562</v>
      </c>
      <c r="E722" s="187" t="s">
        <v>205</v>
      </c>
      <c r="F722" s="188"/>
      <c r="G722" s="18"/>
      <c r="H722" s="18">
        <f>12635+14140</f>
        <v>26775</v>
      </c>
      <c r="I722" s="189"/>
      <c r="J722" s="189">
        <f>26775-H$721</f>
        <v>0</v>
      </c>
      <c r="K722" s="189">
        <f t="shared" si="67"/>
        <v>0</v>
      </c>
      <c r="L722" s="190" t="s">
        <v>1561</v>
      </c>
    </row>
    <row r="723" spans="1:12" s="180" customFormat="1" ht="8.65" customHeight="1" x14ac:dyDescent="0.15">
      <c r="A723" s="187" t="s">
        <v>664</v>
      </c>
      <c r="B723" s="187" t="s">
        <v>1296</v>
      </c>
      <c r="C723" s="187" t="s">
        <v>942</v>
      </c>
      <c r="D723" s="187" t="s">
        <v>1563</v>
      </c>
      <c r="E723" s="187" t="s">
        <v>205</v>
      </c>
      <c r="F723" s="188"/>
      <c r="G723" s="18"/>
      <c r="H723" s="18"/>
      <c r="I723" s="189"/>
      <c r="J723" s="189">
        <v>580000</v>
      </c>
      <c r="K723" s="189">
        <f t="shared" si="67"/>
        <v>580000</v>
      </c>
      <c r="L723" s="190" t="s">
        <v>551</v>
      </c>
    </row>
    <row r="724" spans="1:12" s="180" customFormat="1" ht="8.65" customHeight="1" x14ac:dyDescent="0.15">
      <c r="A724" s="187" t="s">
        <v>664</v>
      </c>
      <c r="B724" s="187" t="s">
        <v>1564</v>
      </c>
      <c r="C724" s="187" t="s">
        <v>1269</v>
      </c>
      <c r="D724" s="187" t="s">
        <v>1565</v>
      </c>
      <c r="E724" s="187" t="s">
        <v>205</v>
      </c>
      <c r="F724" s="188"/>
      <c r="G724" s="18">
        <v>75020.7</v>
      </c>
      <c r="H724" s="18"/>
      <c r="I724" s="189">
        <v>75020.7</v>
      </c>
      <c r="J724" s="189">
        <f>+G724</f>
        <v>75020.7</v>
      </c>
      <c r="K724" s="189">
        <f>+J724-I724</f>
        <v>0</v>
      </c>
      <c r="L724" s="190" t="s">
        <v>551</v>
      </c>
    </row>
    <row r="725" spans="1:12" s="180" customFormat="1" ht="8.65" customHeight="1" x14ac:dyDescent="0.15">
      <c r="A725" s="187" t="s">
        <v>664</v>
      </c>
      <c r="B725" s="187" t="s">
        <v>1566</v>
      </c>
      <c r="C725" s="187" t="s">
        <v>1269</v>
      </c>
      <c r="D725" s="187" t="s">
        <v>1567</v>
      </c>
      <c r="E725" s="187" t="s">
        <v>205</v>
      </c>
      <c r="F725" s="188"/>
      <c r="G725" s="18"/>
      <c r="H725" s="18">
        <v>22950</v>
      </c>
      <c r="I725" s="189"/>
      <c r="J725" s="189">
        <f>23100-H725</f>
        <v>150</v>
      </c>
      <c r="K725" s="189">
        <f t="shared" si="67"/>
        <v>150</v>
      </c>
      <c r="L725" s="190" t="s">
        <v>551</v>
      </c>
    </row>
    <row r="726" spans="1:12" s="180" customFormat="1" ht="8.65" customHeight="1" x14ac:dyDescent="0.15">
      <c r="A726" s="187" t="s">
        <v>664</v>
      </c>
      <c r="B726" s="187" t="s">
        <v>1568</v>
      </c>
      <c r="C726" s="187" t="s">
        <v>1467</v>
      </c>
      <c r="D726" s="187" t="s">
        <v>1569</v>
      </c>
      <c r="E726" s="187" t="s">
        <v>205</v>
      </c>
      <c r="F726" s="188"/>
      <c r="G726" s="18"/>
      <c r="H726" s="18">
        <v>252000</v>
      </c>
      <c r="I726" s="189"/>
      <c r="J726" s="189">
        <f>252000-H726</f>
        <v>0</v>
      </c>
      <c r="K726" s="189">
        <f t="shared" si="67"/>
        <v>0</v>
      </c>
      <c r="L726" s="190" t="s">
        <v>551</v>
      </c>
    </row>
    <row r="727" spans="1:12" s="180" customFormat="1" ht="8.65" customHeight="1" x14ac:dyDescent="0.15">
      <c r="A727" s="187" t="s">
        <v>664</v>
      </c>
      <c r="B727" s="187" t="s">
        <v>1570</v>
      </c>
      <c r="C727" s="187" t="s">
        <v>1467</v>
      </c>
      <c r="D727" s="187" t="s">
        <v>1571</v>
      </c>
      <c r="E727" s="187" t="s">
        <v>205</v>
      </c>
      <c r="F727" s="188"/>
      <c r="G727" s="18"/>
      <c r="H727" s="18"/>
      <c r="I727" s="189">
        <v>121000.68</v>
      </c>
      <c r="J727" s="189">
        <v>168000</v>
      </c>
      <c r="K727" s="189">
        <f>+J727-I727</f>
        <v>46999.320000000007</v>
      </c>
      <c r="L727" s="190" t="s">
        <v>551</v>
      </c>
    </row>
    <row r="728" spans="1:12" s="180" customFormat="1" ht="8.65" customHeight="1" x14ac:dyDescent="0.15">
      <c r="A728" s="187" t="s">
        <v>664</v>
      </c>
      <c r="B728" s="187" t="s">
        <v>1572</v>
      </c>
      <c r="C728" s="187" t="s">
        <v>1467</v>
      </c>
      <c r="D728" s="187" t="s">
        <v>1573</v>
      </c>
      <c r="E728" s="187" t="s">
        <v>205</v>
      </c>
      <c r="F728" s="188"/>
      <c r="G728" s="18"/>
      <c r="H728" s="18">
        <v>756000</v>
      </c>
      <c r="I728" s="189"/>
      <c r="J728" s="189">
        <f>756000-H$728</f>
        <v>0</v>
      </c>
      <c r="K728" s="189">
        <f t="shared" si="67"/>
        <v>0</v>
      </c>
      <c r="L728" s="190" t="s">
        <v>551</v>
      </c>
    </row>
    <row r="729" spans="1:12" s="180" customFormat="1" ht="8.65" customHeight="1" x14ac:dyDescent="0.15">
      <c r="A729" s="187" t="s">
        <v>664</v>
      </c>
      <c r="B729" s="187" t="s">
        <v>1574</v>
      </c>
      <c r="C729" s="187" t="s">
        <v>1467</v>
      </c>
      <c r="D729" s="187" t="s">
        <v>1575</v>
      </c>
      <c r="E729" s="187" t="s">
        <v>205</v>
      </c>
      <c r="F729" s="188"/>
      <c r="G729" s="18"/>
      <c r="H729" s="18">
        <v>630000</v>
      </c>
      <c r="I729" s="189"/>
      <c r="J729" s="189">
        <f t="shared" ref="J729:J732" si="68">756000-H$728</f>
        <v>0</v>
      </c>
      <c r="K729" s="189">
        <f t="shared" si="67"/>
        <v>0</v>
      </c>
      <c r="L729" s="190" t="s">
        <v>551</v>
      </c>
    </row>
    <row r="730" spans="1:12" s="180" customFormat="1" ht="8.65" customHeight="1" x14ac:dyDescent="0.15">
      <c r="A730" s="187" t="s">
        <v>664</v>
      </c>
      <c r="B730" s="187" t="s">
        <v>1576</v>
      </c>
      <c r="C730" s="187" t="s">
        <v>1467</v>
      </c>
      <c r="D730" s="187" t="s">
        <v>1577</v>
      </c>
      <c r="E730" s="187" t="s">
        <v>205</v>
      </c>
      <c r="F730" s="188"/>
      <c r="G730" s="18"/>
      <c r="H730" s="18">
        <v>472500</v>
      </c>
      <c r="I730" s="189"/>
      <c r="J730" s="189">
        <f t="shared" si="68"/>
        <v>0</v>
      </c>
      <c r="K730" s="189">
        <f t="shared" si="67"/>
        <v>0</v>
      </c>
      <c r="L730" s="190" t="s">
        <v>551</v>
      </c>
    </row>
    <row r="731" spans="1:12" s="180" customFormat="1" ht="8.65" customHeight="1" x14ac:dyDescent="0.15">
      <c r="A731" s="187" t="s">
        <v>664</v>
      </c>
      <c r="B731" s="187" t="s">
        <v>1578</v>
      </c>
      <c r="C731" s="187" t="s">
        <v>1467</v>
      </c>
      <c r="D731" s="187" t="s">
        <v>1579</v>
      </c>
      <c r="E731" s="187" t="s">
        <v>205</v>
      </c>
      <c r="F731" s="188"/>
      <c r="G731" s="18"/>
      <c r="H731" s="18">
        <v>4331250</v>
      </c>
      <c r="I731" s="189"/>
      <c r="J731" s="189">
        <f t="shared" si="68"/>
        <v>0</v>
      </c>
      <c r="K731" s="189">
        <f t="shared" si="67"/>
        <v>0</v>
      </c>
      <c r="L731" s="190" t="s">
        <v>551</v>
      </c>
    </row>
    <row r="732" spans="1:12" s="180" customFormat="1" ht="8.65" customHeight="1" x14ac:dyDescent="0.15">
      <c r="A732" s="187" t="s">
        <v>664</v>
      </c>
      <c r="B732" s="187" t="s">
        <v>1580</v>
      </c>
      <c r="C732" s="187" t="s">
        <v>1467</v>
      </c>
      <c r="D732" s="187" t="s">
        <v>1581</v>
      </c>
      <c r="E732" s="187" t="s">
        <v>205</v>
      </c>
      <c r="F732" s="188"/>
      <c r="G732" s="18"/>
      <c r="H732" s="18">
        <v>630000</v>
      </c>
      <c r="I732" s="189"/>
      <c r="J732" s="189">
        <f t="shared" si="68"/>
        <v>0</v>
      </c>
      <c r="K732" s="189">
        <f t="shared" si="67"/>
        <v>0</v>
      </c>
      <c r="L732" s="190" t="s">
        <v>551</v>
      </c>
    </row>
    <row r="733" spans="1:12" s="211" customFormat="1" ht="8.65" customHeight="1" x14ac:dyDescent="0.15">
      <c r="A733" s="187" t="s">
        <v>664</v>
      </c>
      <c r="B733" s="187" t="s">
        <v>1582</v>
      </c>
      <c r="C733" s="187" t="s">
        <v>1467</v>
      </c>
      <c r="D733" s="187" t="s">
        <v>1583</v>
      </c>
      <c r="E733" s="187" t="s">
        <v>205</v>
      </c>
      <c r="F733" s="188"/>
      <c r="G733" s="18"/>
      <c r="H733" s="18"/>
      <c r="I733" s="189">
        <v>153103.59</v>
      </c>
      <c r="J733" s="189">
        <v>157500</v>
      </c>
      <c r="K733" s="189">
        <f>+J733-I733</f>
        <v>4396.4100000000035</v>
      </c>
      <c r="L733" s="190" t="s">
        <v>551</v>
      </c>
    </row>
    <row r="734" spans="1:12" s="180" customFormat="1" ht="8.65" customHeight="1" x14ac:dyDescent="0.15">
      <c r="A734" s="187" t="s">
        <v>664</v>
      </c>
      <c r="B734" s="187" t="s">
        <v>1584</v>
      </c>
      <c r="C734" s="187" t="s">
        <v>673</v>
      </c>
      <c r="D734" s="187" t="s">
        <v>1585</v>
      </c>
      <c r="E734" s="187" t="s">
        <v>205</v>
      </c>
      <c r="F734" s="188"/>
      <c r="G734" s="18"/>
      <c r="H734" s="18">
        <v>3669</v>
      </c>
      <c r="I734" s="189">
        <v>10490.95</v>
      </c>
      <c r="J734" s="189">
        <f>15960-H734</f>
        <v>12291</v>
      </c>
      <c r="K734" s="189">
        <f>+J734-I734</f>
        <v>1800.0499999999993</v>
      </c>
      <c r="L734" s="190" t="s">
        <v>551</v>
      </c>
    </row>
    <row r="735" spans="1:12" s="180" customFormat="1" ht="8.65" customHeight="1" x14ac:dyDescent="0.15">
      <c r="A735" s="187" t="s">
        <v>664</v>
      </c>
      <c r="B735" s="187" t="s">
        <v>1586</v>
      </c>
      <c r="C735" s="187" t="s">
        <v>673</v>
      </c>
      <c r="D735" s="187" t="s">
        <v>1587</v>
      </c>
      <c r="E735" s="187" t="s">
        <v>205</v>
      </c>
      <c r="F735" s="188"/>
      <c r="G735" s="18"/>
      <c r="H735" s="18">
        <v>5905</v>
      </c>
      <c r="I735" s="189"/>
      <c r="J735" s="189">
        <f>16625-H$735</f>
        <v>10720</v>
      </c>
      <c r="K735" s="189">
        <f t="shared" si="67"/>
        <v>10720</v>
      </c>
      <c r="L735" s="190" t="s">
        <v>551</v>
      </c>
    </row>
    <row r="736" spans="1:12" s="180" customFormat="1" ht="8.65" customHeight="1" x14ac:dyDescent="0.15">
      <c r="A736" s="187" t="s">
        <v>664</v>
      </c>
      <c r="B736" s="187" t="s">
        <v>1588</v>
      </c>
      <c r="C736" s="187" t="s">
        <v>673</v>
      </c>
      <c r="D736" s="187" t="s">
        <v>1589</v>
      </c>
      <c r="E736" s="187" t="s">
        <v>205</v>
      </c>
      <c r="F736" s="188"/>
      <c r="G736" s="18"/>
      <c r="H736" s="18">
        <v>8951</v>
      </c>
      <c r="I736" s="189"/>
      <c r="J736" s="189">
        <f>25200-H736</f>
        <v>16249</v>
      </c>
      <c r="K736" s="189">
        <f t="shared" si="67"/>
        <v>16249</v>
      </c>
      <c r="L736" s="190" t="s">
        <v>551</v>
      </c>
    </row>
    <row r="737" spans="1:12" s="180" customFormat="1" ht="8.65" customHeight="1" x14ac:dyDescent="0.15">
      <c r="A737" s="187" t="s">
        <v>664</v>
      </c>
      <c r="B737" s="187" t="s">
        <v>1590</v>
      </c>
      <c r="C737" s="187" t="s">
        <v>673</v>
      </c>
      <c r="D737" s="187" t="s">
        <v>1591</v>
      </c>
      <c r="E737" s="187" t="s">
        <v>205</v>
      </c>
      <c r="F737" s="188"/>
      <c r="G737" s="18"/>
      <c r="H737" s="18"/>
      <c r="I737" s="189">
        <v>24569.67</v>
      </c>
      <c r="J737" s="189">
        <v>84000</v>
      </c>
      <c r="K737" s="189">
        <f>+J737-I737</f>
        <v>59430.33</v>
      </c>
      <c r="L737" s="190" t="s">
        <v>551</v>
      </c>
    </row>
    <row r="738" spans="1:12" s="180" customFormat="1" ht="8.65" customHeight="1" x14ac:dyDescent="0.15">
      <c r="A738" s="187" t="s">
        <v>664</v>
      </c>
      <c r="B738" s="187" t="s">
        <v>1592</v>
      </c>
      <c r="C738" s="187" t="s">
        <v>673</v>
      </c>
      <c r="D738" s="187" t="s">
        <v>1593</v>
      </c>
      <c r="E738" s="187" t="s">
        <v>205</v>
      </c>
      <c r="F738" s="188"/>
      <c r="G738" s="18"/>
      <c r="H738" s="18"/>
      <c r="I738" s="189"/>
      <c r="J738" s="189">
        <v>64260</v>
      </c>
      <c r="K738" s="189">
        <f t="shared" si="67"/>
        <v>64260</v>
      </c>
      <c r="L738" s="190" t="s">
        <v>551</v>
      </c>
    </row>
    <row r="739" spans="1:12" s="180" customFormat="1" ht="8.65" customHeight="1" x14ac:dyDescent="0.15">
      <c r="A739" s="187" t="s">
        <v>664</v>
      </c>
      <c r="B739" s="187" t="s">
        <v>1594</v>
      </c>
      <c r="C739" s="187" t="s">
        <v>673</v>
      </c>
      <c r="D739" s="187" t="s">
        <v>1595</v>
      </c>
      <c r="E739" s="187" t="s">
        <v>205</v>
      </c>
      <c r="F739" s="188"/>
      <c r="G739" s="18"/>
      <c r="H739" s="18"/>
      <c r="I739" s="189"/>
      <c r="J739" s="189">
        <v>97650</v>
      </c>
      <c r="K739" s="189">
        <f t="shared" si="67"/>
        <v>97650</v>
      </c>
      <c r="L739" s="190" t="s">
        <v>551</v>
      </c>
    </row>
    <row r="740" spans="1:12" s="180" customFormat="1" ht="8.65" customHeight="1" x14ac:dyDescent="0.15">
      <c r="A740" s="187" t="s">
        <v>664</v>
      </c>
      <c r="B740" s="187" t="s">
        <v>1596</v>
      </c>
      <c r="C740" s="187" t="s">
        <v>673</v>
      </c>
      <c r="D740" s="187" t="s">
        <v>1597</v>
      </c>
      <c r="E740" s="187" t="s">
        <v>205</v>
      </c>
      <c r="F740" s="188"/>
      <c r="G740" s="18"/>
      <c r="H740" s="18">
        <v>10656</v>
      </c>
      <c r="I740" s="189">
        <v>16385</v>
      </c>
      <c r="J740" s="189">
        <f>30000-H740</f>
        <v>19344</v>
      </c>
      <c r="K740" s="189">
        <f>+J740-I740</f>
        <v>2959</v>
      </c>
      <c r="L740" s="190" t="s">
        <v>551</v>
      </c>
    </row>
    <row r="741" spans="1:12" s="180" customFormat="1" ht="8.65" customHeight="1" x14ac:dyDescent="0.15">
      <c r="A741" s="187" t="s">
        <v>664</v>
      </c>
      <c r="B741" s="187" t="s">
        <v>1598</v>
      </c>
      <c r="C741" s="187" t="s">
        <v>673</v>
      </c>
      <c r="D741" s="187" t="s">
        <v>1599</v>
      </c>
      <c r="E741" s="187" t="s">
        <v>205</v>
      </c>
      <c r="F741" s="188"/>
      <c r="G741" s="18"/>
      <c r="H741" s="18">
        <v>5000</v>
      </c>
      <c r="I741" s="189"/>
      <c r="J741" s="189">
        <f>166450-H741</f>
        <v>161450</v>
      </c>
      <c r="K741" s="189">
        <f t="shared" si="67"/>
        <v>161450</v>
      </c>
      <c r="L741" s="190" t="s">
        <v>551</v>
      </c>
    </row>
    <row r="742" spans="1:12" s="211" customFormat="1" ht="8.65" customHeight="1" x14ac:dyDescent="0.15">
      <c r="A742" s="187" t="s">
        <v>664</v>
      </c>
      <c r="B742" s="187" t="s">
        <v>1600</v>
      </c>
      <c r="C742" s="187" t="s">
        <v>673</v>
      </c>
      <c r="D742" s="187" t="s">
        <v>1601</v>
      </c>
      <c r="E742" s="187" t="s">
        <v>205</v>
      </c>
      <c r="F742" s="188"/>
      <c r="G742" s="18">
        <v>100000</v>
      </c>
      <c r="H742" s="18">
        <v>26000</v>
      </c>
      <c r="I742" s="189">
        <v>67630.490000000005</v>
      </c>
      <c r="J742" s="189">
        <f>105840+G742-H742</f>
        <v>179840</v>
      </c>
      <c r="K742" s="189">
        <f>+J742-I742</f>
        <v>112209.51</v>
      </c>
      <c r="L742" s="190" t="s">
        <v>551</v>
      </c>
    </row>
    <row r="743" spans="1:12" s="180" customFormat="1" ht="8.65" customHeight="1" x14ac:dyDescent="0.15">
      <c r="A743" s="187" t="s">
        <v>664</v>
      </c>
      <c r="B743" s="187" t="s">
        <v>1602</v>
      </c>
      <c r="C743" s="187" t="s">
        <v>673</v>
      </c>
      <c r="D743" s="187" t="s">
        <v>1603</v>
      </c>
      <c r="E743" s="187" t="s">
        <v>205</v>
      </c>
      <c r="F743" s="188"/>
      <c r="G743" s="18">
        <v>10508</v>
      </c>
      <c r="H743" s="18"/>
      <c r="I743" s="189">
        <v>12712.5</v>
      </c>
      <c r="J743" s="189">
        <f>4200+G743</f>
        <v>14708</v>
      </c>
      <c r="K743" s="189">
        <f>+J743-I743</f>
        <v>1995.5</v>
      </c>
      <c r="L743" s="190" t="s">
        <v>551</v>
      </c>
    </row>
    <row r="744" spans="1:12" s="180" customFormat="1" ht="8.65" customHeight="1" x14ac:dyDescent="0.15">
      <c r="A744" s="187" t="s">
        <v>664</v>
      </c>
      <c r="B744" s="187" t="s">
        <v>1604</v>
      </c>
      <c r="C744" s="187" t="s">
        <v>673</v>
      </c>
      <c r="D744" s="187" t="s">
        <v>1605</v>
      </c>
      <c r="E744" s="187" t="s">
        <v>205</v>
      </c>
      <c r="F744" s="188"/>
      <c r="G744" s="18"/>
      <c r="H744" s="18">
        <v>3730</v>
      </c>
      <c r="I744" s="189"/>
      <c r="J744" s="189">
        <f>10500-H744</f>
        <v>6770</v>
      </c>
      <c r="K744" s="189">
        <f t="shared" si="67"/>
        <v>6770</v>
      </c>
      <c r="L744" s="190" t="s">
        <v>551</v>
      </c>
    </row>
    <row r="745" spans="1:12" s="180" customFormat="1" ht="8.65" customHeight="1" x14ac:dyDescent="0.15">
      <c r="A745" s="187" t="s">
        <v>664</v>
      </c>
      <c r="B745" s="187" t="s">
        <v>1606</v>
      </c>
      <c r="C745" s="187" t="s">
        <v>673</v>
      </c>
      <c r="D745" s="187" t="s">
        <v>1607</v>
      </c>
      <c r="E745" s="187" t="s">
        <v>205</v>
      </c>
      <c r="F745" s="188"/>
      <c r="G745" s="18"/>
      <c r="H745" s="18">
        <v>9137</v>
      </c>
      <c r="I745" s="189"/>
      <c r="J745" s="189">
        <f>25725-H745</f>
        <v>16588</v>
      </c>
      <c r="K745" s="189">
        <f t="shared" si="67"/>
        <v>16588</v>
      </c>
      <c r="L745" s="190" t="s">
        <v>551</v>
      </c>
    </row>
    <row r="746" spans="1:12" s="180" customFormat="1" ht="8.65" customHeight="1" x14ac:dyDescent="0.15">
      <c r="A746" s="187" t="s">
        <v>664</v>
      </c>
      <c r="B746" s="187" t="s">
        <v>1608</v>
      </c>
      <c r="C746" s="187" t="s">
        <v>673</v>
      </c>
      <c r="D746" s="187" t="s">
        <v>1609</v>
      </c>
      <c r="E746" s="187" t="s">
        <v>205</v>
      </c>
      <c r="F746" s="188"/>
      <c r="G746" s="18">
        <f>7411.2+3730</f>
        <v>11141.2</v>
      </c>
      <c r="H746" s="18">
        <v>3730</v>
      </c>
      <c r="I746" s="189">
        <v>17176</v>
      </c>
      <c r="J746" s="189">
        <f>10500+G746-H746</f>
        <v>17911.2</v>
      </c>
      <c r="K746" s="189">
        <f>+J746-I746</f>
        <v>735.20000000000073</v>
      </c>
      <c r="L746" s="190" t="s">
        <v>551</v>
      </c>
    </row>
    <row r="747" spans="1:12" s="180" customFormat="1" ht="8.65" customHeight="1" x14ac:dyDescent="0.15">
      <c r="A747" s="187" t="s">
        <v>664</v>
      </c>
      <c r="B747" s="187" t="s">
        <v>1610</v>
      </c>
      <c r="C747" s="187" t="s">
        <v>673</v>
      </c>
      <c r="D747" s="187" t="s">
        <v>1611</v>
      </c>
      <c r="E747" s="187" t="s">
        <v>205</v>
      </c>
      <c r="F747" s="188"/>
      <c r="G747" s="18"/>
      <c r="H747" s="18">
        <v>5147</v>
      </c>
      <c r="I747" s="189">
        <v>7010.52</v>
      </c>
      <c r="J747" s="189">
        <f>14490-H747</f>
        <v>9343</v>
      </c>
      <c r="K747" s="189">
        <f>+J747-I747</f>
        <v>2332.4799999999996</v>
      </c>
      <c r="L747" s="190" t="s">
        <v>551</v>
      </c>
    </row>
    <row r="748" spans="1:12" s="180" customFormat="1" ht="8.65" customHeight="1" x14ac:dyDescent="0.15">
      <c r="A748" s="187" t="s">
        <v>664</v>
      </c>
      <c r="B748" s="187" t="s">
        <v>1612</v>
      </c>
      <c r="C748" s="187" t="s">
        <v>673</v>
      </c>
      <c r="D748" s="187" t="s">
        <v>1613</v>
      </c>
      <c r="E748" s="187" t="s">
        <v>205</v>
      </c>
      <c r="F748" s="188"/>
      <c r="G748" s="18"/>
      <c r="H748" s="18">
        <v>8283</v>
      </c>
      <c r="I748" s="189"/>
      <c r="J748" s="189">
        <f>23320-H748</f>
        <v>15037</v>
      </c>
      <c r="K748" s="189">
        <f t="shared" si="67"/>
        <v>15037</v>
      </c>
      <c r="L748" s="190" t="s">
        <v>551</v>
      </c>
    </row>
    <row r="749" spans="1:12" s="180" customFormat="1" ht="8.65" customHeight="1" x14ac:dyDescent="0.15">
      <c r="A749" s="187" t="s">
        <v>664</v>
      </c>
      <c r="B749" s="187" t="s">
        <v>1614</v>
      </c>
      <c r="C749" s="187" t="s">
        <v>673</v>
      </c>
      <c r="D749" s="187" t="s">
        <v>1615</v>
      </c>
      <c r="E749" s="187" t="s">
        <v>205</v>
      </c>
      <c r="F749" s="188"/>
      <c r="G749" s="18"/>
      <c r="H749" s="18">
        <v>2984</v>
      </c>
      <c r="I749" s="189">
        <v>5315.52</v>
      </c>
      <c r="J749" s="189">
        <f>8400-H749</f>
        <v>5416</v>
      </c>
      <c r="K749" s="189">
        <f>+J749-I749</f>
        <v>100.47999999999956</v>
      </c>
      <c r="L749" s="190" t="s">
        <v>551</v>
      </c>
    </row>
    <row r="750" spans="1:12" s="180" customFormat="1" ht="8.65" customHeight="1" x14ac:dyDescent="0.15">
      <c r="A750" s="187" t="s">
        <v>664</v>
      </c>
      <c r="B750" s="187" t="s">
        <v>1616</v>
      </c>
      <c r="C750" s="187" t="s">
        <v>942</v>
      </c>
      <c r="D750" s="187" t="s">
        <v>1617</v>
      </c>
      <c r="E750" s="187" t="s">
        <v>205</v>
      </c>
      <c r="F750" s="188"/>
      <c r="G750" s="18"/>
      <c r="H750" s="18">
        <v>660</v>
      </c>
      <c r="I750" s="189">
        <v>9652.3700000000008</v>
      </c>
      <c r="J750" s="189">
        <f>11025-H750</f>
        <v>10365</v>
      </c>
      <c r="K750" s="189">
        <f>+J750-I750</f>
        <v>712.6299999999992</v>
      </c>
      <c r="L750" s="190" t="s">
        <v>551</v>
      </c>
    </row>
    <row r="751" spans="1:12" s="180" customFormat="1" ht="8.65" customHeight="1" x14ac:dyDescent="0.15">
      <c r="A751" s="187" t="s">
        <v>664</v>
      </c>
      <c r="B751" s="187" t="s">
        <v>1618</v>
      </c>
      <c r="C751" s="187" t="s">
        <v>673</v>
      </c>
      <c r="D751" s="187" t="s">
        <v>1619</v>
      </c>
      <c r="E751" s="187" t="s">
        <v>205</v>
      </c>
      <c r="F751" s="188"/>
      <c r="G751" s="18"/>
      <c r="H751" s="18">
        <v>13622</v>
      </c>
      <c r="I751" s="189"/>
      <c r="J751" s="189">
        <f>38350-H751</f>
        <v>24728</v>
      </c>
      <c r="K751" s="189">
        <f t="shared" si="67"/>
        <v>24728</v>
      </c>
      <c r="L751" s="190" t="s">
        <v>551</v>
      </c>
    </row>
    <row r="752" spans="1:12" s="180" customFormat="1" ht="8.65" customHeight="1" x14ac:dyDescent="0.15">
      <c r="A752" s="187" t="s">
        <v>664</v>
      </c>
      <c r="B752" s="187" t="s">
        <v>1620</v>
      </c>
      <c r="C752" s="187" t="s">
        <v>673</v>
      </c>
      <c r="D752" s="187" t="s">
        <v>1621</v>
      </c>
      <c r="E752" s="187" t="s">
        <v>205</v>
      </c>
      <c r="F752" s="188"/>
      <c r="G752" s="18"/>
      <c r="H752" s="18">
        <v>67245</v>
      </c>
      <c r="I752" s="189">
        <v>146900</v>
      </c>
      <c r="J752" s="189">
        <f>214200-H752</f>
        <v>146955</v>
      </c>
      <c r="K752" s="189">
        <f>+J752-I752</f>
        <v>55</v>
      </c>
      <c r="L752" s="190" t="s">
        <v>551</v>
      </c>
    </row>
    <row r="753" spans="1:12" s="180" customFormat="1" ht="8.65" customHeight="1" x14ac:dyDescent="0.15">
      <c r="A753" s="187" t="s">
        <v>664</v>
      </c>
      <c r="B753" s="187" t="s">
        <v>944</v>
      </c>
      <c r="C753" s="187" t="s">
        <v>666</v>
      </c>
      <c r="D753" s="187" t="s">
        <v>945</v>
      </c>
      <c r="E753" s="187" t="s">
        <v>205</v>
      </c>
      <c r="F753" s="188"/>
      <c r="G753" s="18"/>
      <c r="H753" s="18">
        <v>3425</v>
      </c>
      <c r="I753" s="189"/>
      <c r="J753" s="189">
        <f>3425-H753</f>
        <v>0</v>
      </c>
      <c r="K753" s="189">
        <f t="shared" si="67"/>
        <v>0</v>
      </c>
      <c r="L753" s="190" t="s">
        <v>551</v>
      </c>
    </row>
    <row r="754" spans="1:12" s="180" customFormat="1" ht="8.65" customHeight="1" x14ac:dyDescent="0.15">
      <c r="A754" s="187" t="s">
        <v>664</v>
      </c>
      <c r="B754" s="187" t="s">
        <v>1258</v>
      </c>
      <c r="C754" s="187" t="s">
        <v>707</v>
      </c>
      <c r="D754" s="187" t="s">
        <v>1259</v>
      </c>
      <c r="E754" s="187" t="s">
        <v>205</v>
      </c>
      <c r="F754" s="188"/>
      <c r="G754" s="18"/>
      <c r="H754" s="18"/>
      <c r="I754" s="189"/>
      <c r="J754" s="189">
        <v>110250</v>
      </c>
      <c r="K754" s="189">
        <f t="shared" si="67"/>
        <v>110250</v>
      </c>
      <c r="L754" s="190" t="s">
        <v>551</v>
      </c>
    </row>
    <row r="755" spans="1:12" s="180" customFormat="1" ht="8.65" customHeight="1" x14ac:dyDescent="0.15">
      <c r="A755" s="187" t="s">
        <v>664</v>
      </c>
      <c r="B755" s="187" t="s">
        <v>1622</v>
      </c>
      <c r="C755" s="187" t="s">
        <v>1269</v>
      </c>
      <c r="D755" s="187" t="s">
        <v>1623</v>
      </c>
      <c r="E755" s="187" t="s">
        <v>205</v>
      </c>
      <c r="F755" s="188"/>
      <c r="G755" s="18"/>
      <c r="H755" s="18"/>
      <c r="I755" s="189">
        <v>214587</v>
      </c>
      <c r="J755" s="189">
        <v>291375</v>
      </c>
      <c r="K755" s="189">
        <f>+J755-I755</f>
        <v>76788</v>
      </c>
      <c r="L755" s="190" t="s">
        <v>551</v>
      </c>
    </row>
    <row r="756" spans="1:12" s="180" customFormat="1" ht="8.65" customHeight="1" x14ac:dyDescent="0.15">
      <c r="A756" s="187" t="s">
        <v>664</v>
      </c>
      <c r="B756" s="187" t="s">
        <v>1624</v>
      </c>
      <c r="C756" s="187" t="s">
        <v>1269</v>
      </c>
      <c r="D756" s="187" t="s">
        <v>1625</v>
      </c>
      <c r="E756" s="187" t="s">
        <v>205</v>
      </c>
      <c r="F756" s="188"/>
      <c r="G756" s="18"/>
      <c r="H756" s="18">
        <v>25490</v>
      </c>
      <c r="I756" s="189">
        <v>64980.65</v>
      </c>
      <c r="J756" s="189">
        <f>212625-H756</f>
        <v>187135</v>
      </c>
      <c r="K756" s="189">
        <f>+J756-I756</f>
        <v>122154.35</v>
      </c>
      <c r="L756" s="190" t="s">
        <v>551</v>
      </c>
    </row>
    <row r="757" spans="1:12" s="180" customFormat="1" ht="8.65" customHeight="1" x14ac:dyDescent="0.15">
      <c r="A757" s="187" t="s">
        <v>664</v>
      </c>
      <c r="B757" s="187" t="s">
        <v>1626</v>
      </c>
      <c r="C757" s="187" t="s">
        <v>1269</v>
      </c>
      <c r="D757" s="187" t="s">
        <v>1627</v>
      </c>
      <c r="E757" s="187" t="s">
        <v>205</v>
      </c>
      <c r="F757" s="188"/>
      <c r="G757" s="18"/>
      <c r="H757" s="18">
        <v>262423</v>
      </c>
      <c r="I757" s="189"/>
      <c r="J757" s="189">
        <f>262500-H757</f>
        <v>77</v>
      </c>
      <c r="K757" s="189">
        <f t="shared" si="67"/>
        <v>77</v>
      </c>
      <c r="L757" s="190" t="s">
        <v>551</v>
      </c>
    </row>
    <row r="758" spans="1:12" s="180" customFormat="1" ht="8.65" customHeight="1" x14ac:dyDescent="0.15">
      <c r="A758" s="187" t="s">
        <v>664</v>
      </c>
      <c r="B758" s="187" t="s">
        <v>1628</v>
      </c>
      <c r="C758" s="187" t="s">
        <v>1269</v>
      </c>
      <c r="D758" s="187" t="s">
        <v>1629</v>
      </c>
      <c r="E758" s="187" t="s">
        <v>205</v>
      </c>
      <c r="F758" s="188"/>
      <c r="G758" s="18"/>
      <c r="H758" s="18">
        <v>21000</v>
      </c>
      <c r="I758" s="189"/>
      <c r="J758" s="189">
        <f>21000-H758</f>
        <v>0</v>
      </c>
      <c r="K758" s="189">
        <f t="shared" si="67"/>
        <v>0</v>
      </c>
      <c r="L758" s="190" t="s">
        <v>551</v>
      </c>
    </row>
    <row r="759" spans="1:12" s="180" customFormat="1" ht="8.65" customHeight="1" x14ac:dyDescent="0.15">
      <c r="A759" s="187" t="s">
        <v>664</v>
      </c>
      <c r="B759" s="187" t="s">
        <v>1630</v>
      </c>
      <c r="C759" s="187" t="s">
        <v>1269</v>
      </c>
      <c r="D759" s="187" t="s">
        <v>1631</v>
      </c>
      <c r="E759" s="187" t="s">
        <v>205</v>
      </c>
      <c r="F759" s="188"/>
      <c r="G759" s="18">
        <f>+J759</f>
        <v>58682</v>
      </c>
      <c r="H759" s="18"/>
      <c r="I759" s="189">
        <v>37200</v>
      </c>
      <c r="J759" s="189">
        <v>58682</v>
      </c>
      <c r="K759" s="189">
        <f>+J759-I759</f>
        <v>21482</v>
      </c>
      <c r="L759" s="190"/>
    </row>
    <row r="760" spans="1:12" s="180" customFormat="1" ht="8.65" customHeight="1" x14ac:dyDescent="0.15">
      <c r="A760" s="187" t="s">
        <v>664</v>
      </c>
      <c r="B760" s="187" t="s">
        <v>1632</v>
      </c>
      <c r="C760" s="187" t="s">
        <v>1269</v>
      </c>
      <c r="D760" s="187" t="s">
        <v>1633</v>
      </c>
      <c r="E760" s="187" t="s">
        <v>205</v>
      </c>
      <c r="F760" s="188"/>
      <c r="G760" s="18"/>
      <c r="H760" s="18">
        <v>305550</v>
      </c>
      <c r="I760" s="189"/>
      <c r="J760" s="189">
        <f>305550-H760</f>
        <v>0</v>
      </c>
      <c r="K760" s="189">
        <f t="shared" si="67"/>
        <v>0</v>
      </c>
      <c r="L760" s="190" t="s">
        <v>551</v>
      </c>
    </row>
    <row r="761" spans="1:12" s="180" customFormat="1" ht="8.65" customHeight="1" x14ac:dyDescent="0.15">
      <c r="A761" s="187" t="s">
        <v>664</v>
      </c>
      <c r="B761" s="187" t="s">
        <v>1634</v>
      </c>
      <c r="C761" s="187" t="s">
        <v>1269</v>
      </c>
      <c r="D761" s="187" t="s">
        <v>1635</v>
      </c>
      <c r="E761" s="187" t="s">
        <v>205</v>
      </c>
      <c r="F761" s="188"/>
      <c r="G761" s="18"/>
      <c r="H761" s="18"/>
      <c r="I761" s="189">
        <v>122605</v>
      </c>
      <c r="J761" s="189">
        <v>147000</v>
      </c>
      <c r="K761" s="189">
        <f>+J761-I761</f>
        <v>24395</v>
      </c>
      <c r="L761" s="190" t="s">
        <v>551</v>
      </c>
    </row>
    <row r="762" spans="1:12" s="180" customFormat="1" ht="8.65" customHeight="1" x14ac:dyDescent="0.15">
      <c r="A762" s="187" t="s">
        <v>664</v>
      </c>
      <c r="B762" s="187" t="s">
        <v>1636</v>
      </c>
      <c r="C762" s="187" t="s">
        <v>1269</v>
      </c>
      <c r="D762" s="187" t="s">
        <v>1637</v>
      </c>
      <c r="E762" s="187" t="s">
        <v>205</v>
      </c>
      <c r="F762" s="188"/>
      <c r="G762" s="18"/>
      <c r="H762" s="18">
        <v>273000</v>
      </c>
      <c r="I762" s="189"/>
      <c r="J762" s="189">
        <f>273000-H762</f>
        <v>0</v>
      </c>
      <c r="K762" s="189">
        <f t="shared" si="67"/>
        <v>0</v>
      </c>
      <c r="L762" s="190" t="s">
        <v>551</v>
      </c>
    </row>
    <row r="763" spans="1:12" s="180" customFormat="1" ht="8.65" customHeight="1" x14ac:dyDescent="0.15">
      <c r="A763" s="187" t="s">
        <v>664</v>
      </c>
      <c r="B763" s="187" t="s">
        <v>1638</v>
      </c>
      <c r="C763" s="187" t="s">
        <v>1269</v>
      </c>
      <c r="D763" s="187" t="s">
        <v>1639</v>
      </c>
      <c r="E763" s="187" t="s">
        <v>205</v>
      </c>
      <c r="F763" s="188"/>
      <c r="G763" s="18"/>
      <c r="H763" s="18">
        <v>273000</v>
      </c>
      <c r="I763" s="189">
        <v>235605</v>
      </c>
      <c r="J763" s="189">
        <f>525000-H763</f>
        <v>252000</v>
      </c>
      <c r="K763" s="189">
        <f>+J763-I763</f>
        <v>16395</v>
      </c>
      <c r="L763" s="190" t="s">
        <v>1534</v>
      </c>
    </row>
    <row r="764" spans="1:12" s="180" customFormat="1" ht="8.65" customHeight="1" x14ac:dyDescent="0.15">
      <c r="A764" s="187" t="s">
        <v>664</v>
      </c>
      <c r="B764" s="187" t="s">
        <v>1640</v>
      </c>
      <c r="C764" s="187" t="s">
        <v>1269</v>
      </c>
      <c r="D764" s="187" t="s">
        <v>1641</v>
      </c>
      <c r="E764" s="187" t="s">
        <v>205</v>
      </c>
      <c r="F764" s="188"/>
      <c r="G764" s="18"/>
      <c r="H764" s="18">
        <v>420000</v>
      </c>
      <c r="I764" s="189"/>
      <c r="J764" s="189">
        <f>420000-H764</f>
        <v>0</v>
      </c>
      <c r="K764" s="189">
        <f t="shared" si="67"/>
        <v>0</v>
      </c>
      <c r="L764" s="190" t="s">
        <v>1546</v>
      </c>
    </row>
    <row r="765" spans="1:12" s="180" customFormat="1" ht="8.65" customHeight="1" x14ac:dyDescent="0.15">
      <c r="A765" s="187" t="s">
        <v>664</v>
      </c>
      <c r="B765" s="187" t="s">
        <v>1642</v>
      </c>
      <c r="C765" s="187" t="s">
        <v>1269</v>
      </c>
      <c r="D765" s="187" t="s">
        <v>1643</v>
      </c>
      <c r="E765" s="187" t="s">
        <v>205</v>
      </c>
      <c r="F765" s="188"/>
      <c r="G765" s="18"/>
      <c r="H765" s="18">
        <v>2766.38</v>
      </c>
      <c r="I765" s="189">
        <v>48138</v>
      </c>
      <c r="J765" s="189">
        <f>72450-H765</f>
        <v>69683.62</v>
      </c>
      <c r="K765" s="189">
        <f>+J765-I765</f>
        <v>21545.619999999995</v>
      </c>
      <c r="L765" s="190" t="s">
        <v>1546</v>
      </c>
    </row>
    <row r="766" spans="1:12" s="180" customFormat="1" ht="8.65" customHeight="1" x14ac:dyDescent="0.15">
      <c r="A766" s="187" t="s">
        <v>664</v>
      </c>
      <c r="B766" s="187" t="s">
        <v>1644</v>
      </c>
      <c r="C766" s="187" t="s">
        <v>1269</v>
      </c>
      <c r="D766" s="187" t="s">
        <v>1645</v>
      </c>
      <c r="E766" s="187" t="s">
        <v>205</v>
      </c>
      <c r="F766" s="188"/>
      <c r="G766" s="18"/>
      <c r="H766" s="18">
        <f>14216+2770.81</f>
        <v>16986.810000000001</v>
      </c>
      <c r="I766" s="189">
        <v>21712.95</v>
      </c>
      <c r="J766" s="189">
        <f>47250-H766</f>
        <v>30263.19</v>
      </c>
      <c r="K766" s="189">
        <f>+J766-I766</f>
        <v>8550.239999999998</v>
      </c>
      <c r="L766" s="190" t="s">
        <v>1546</v>
      </c>
    </row>
    <row r="767" spans="1:12" s="180" customFormat="1" ht="8.65" customHeight="1" x14ac:dyDescent="0.15">
      <c r="A767" s="187" t="s">
        <v>664</v>
      </c>
      <c r="B767" s="187" t="s">
        <v>1646</v>
      </c>
      <c r="C767" s="187" t="s">
        <v>1269</v>
      </c>
      <c r="D767" s="187" t="s">
        <v>1647</v>
      </c>
      <c r="E767" s="187" t="s">
        <v>205</v>
      </c>
      <c r="F767" s="188"/>
      <c r="G767" s="18"/>
      <c r="H767" s="18">
        <v>64429</v>
      </c>
      <c r="I767" s="189"/>
      <c r="J767" s="189">
        <f>64575-H767</f>
        <v>146</v>
      </c>
      <c r="K767" s="189">
        <f t="shared" si="67"/>
        <v>146</v>
      </c>
      <c r="L767" s="190" t="s">
        <v>1546</v>
      </c>
    </row>
    <row r="768" spans="1:12" s="180" customFormat="1" ht="8.65" customHeight="1" x14ac:dyDescent="0.15">
      <c r="A768" s="187" t="s">
        <v>664</v>
      </c>
      <c r="B768" s="187" t="s">
        <v>1648</v>
      </c>
      <c r="C768" s="187" t="s">
        <v>1269</v>
      </c>
      <c r="D768" s="187" t="s">
        <v>1649</v>
      </c>
      <c r="E768" s="187" t="s">
        <v>205</v>
      </c>
      <c r="F768" s="188"/>
      <c r="G768" s="18"/>
      <c r="H768" s="18">
        <v>210000</v>
      </c>
      <c r="I768" s="189"/>
      <c r="J768" s="189">
        <f>210000-H768</f>
        <v>0</v>
      </c>
      <c r="K768" s="189">
        <f t="shared" si="67"/>
        <v>0</v>
      </c>
      <c r="L768" s="190" t="s">
        <v>1546</v>
      </c>
    </row>
    <row r="769" spans="1:12" s="180" customFormat="1" ht="8.65" customHeight="1" x14ac:dyDescent="0.15">
      <c r="A769" s="187" t="s">
        <v>664</v>
      </c>
      <c r="B769" s="187" t="s">
        <v>1650</v>
      </c>
      <c r="C769" s="187" t="s">
        <v>1269</v>
      </c>
      <c r="D769" s="187" t="s">
        <v>1651</v>
      </c>
      <c r="E769" s="187" t="s">
        <v>205</v>
      </c>
      <c r="F769" s="188"/>
      <c r="G769" s="18">
        <v>81343.39</v>
      </c>
      <c r="H769" s="18"/>
      <c r="I769" s="189">
        <v>162889.5</v>
      </c>
      <c r="J769" s="189">
        <f>147000+G769</f>
        <v>228343.39</v>
      </c>
      <c r="K769" s="189">
        <f>+J769-I769</f>
        <v>65453.890000000014</v>
      </c>
      <c r="L769" s="190" t="s">
        <v>1546</v>
      </c>
    </row>
    <row r="770" spans="1:12" s="180" customFormat="1" ht="8.65" customHeight="1" x14ac:dyDescent="0.15">
      <c r="A770" s="187" t="s">
        <v>664</v>
      </c>
      <c r="B770" s="187" t="s">
        <v>1652</v>
      </c>
      <c r="C770" s="187" t="s">
        <v>1269</v>
      </c>
      <c r="D770" s="187" t="s">
        <v>1653</v>
      </c>
      <c r="E770" s="187" t="s">
        <v>205</v>
      </c>
      <c r="F770" s="188"/>
      <c r="G770" s="18"/>
      <c r="H770" s="18">
        <v>7437.66</v>
      </c>
      <c r="I770" s="189">
        <v>165002.6</v>
      </c>
      <c r="J770" s="189">
        <f>204750-H770</f>
        <v>197312.34</v>
      </c>
      <c r="K770" s="189">
        <f>+J770-I770</f>
        <v>32309.739999999991</v>
      </c>
      <c r="L770" s="190" t="s">
        <v>1546</v>
      </c>
    </row>
    <row r="771" spans="1:12" s="180" customFormat="1" ht="8.65" customHeight="1" x14ac:dyDescent="0.15">
      <c r="A771" s="187" t="s">
        <v>664</v>
      </c>
      <c r="B771" s="187" t="s">
        <v>1654</v>
      </c>
      <c r="C771" s="187" t="s">
        <v>1269</v>
      </c>
      <c r="D771" s="187" t="s">
        <v>1655</v>
      </c>
      <c r="E771" s="187" t="s">
        <v>205</v>
      </c>
      <c r="F771" s="188"/>
      <c r="G771" s="18">
        <v>236110</v>
      </c>
      <c r="H771" s="18"/>
      <c r="I771" s="189">
        <v>307360</v>
      </c>
      <c r="J771" s="189">
        <f>147000+G771</f>
        <v>383110</v>
      </c>
      <c r="K771" s="189">
        <f>+J771-I771</f>
        <v>75750</v>
      </c>
      <c r="L771" s="190" t="s">
        <v>1546</v>
      </c>
    </row>
    <row r="772" spans="1:12" s="180" customFormat="1" ht="8.65" customHeight="1" x14ac:dyDescent="0.15">
      <c r="A772" s="187" t="s">
        <v>664</v>
      </c>
      <c r="B772" s="187" t="s">
        <v>1656</v>
      </c>
      <c r="C772" s="187" t="s">
        <v>1269</v>
      </c>
      <c r="D772" s="187" t="s">
        <v>1657</v>
      </c>
      <c r="E772" s="187" t="s">
        <v>205</v>
      </c>
      <c r="F772" s="188"/>
      <c r="G772" s="18"/>
      <c r="H772" s="18">
        <v>4495.0600000000004</v>
      </c>
      <c r="I772" s="189">
        <v>49494</v>
      </c>
      <c r="J772" s="189">
        <f>73500-H772</f>
        <v>69004.94</v>
      </c>
      <c r="K772" s="189">
        <f>+J772-I772</f>
        <v>19510.940000000002</v>
      </c>
      <c r="L772" s="190" t="s">
        <v>1546</v>
      </c>
    </row>
    <row r="773" spans="1:12" s="180" customFormat="1" ht="8.65" customHeight="1" x14ac:dyDescent="0.15">
      <c r="A773" s="187" t="s">
        <v>664</v>
      </c>
      <c r="B773" s="187" t="s">
        <v>1658</v>
      </c>
      <c r="C773" s="187" t="s">
        <v>1269</v>
      </c>
      <c r="D773" s="187" t="s">
        <v>1659</v>
      </c>
      <c r="E773" s="187" t="s">
        <v>205</v>
      </c>
      <c r="F773" s="188"/>
      <c r="G773" s="18">
        <v>14000</v>
      </c>
      <c r="H773" s="18">
        <v>350000</v>
      </c>
      <c r="I773" s="189"/>
      <c r="J773" s="189">
        <f>336000+G773-H773</f>
        <v>0</v>
      </c>
      <c r="K773" s="189">
        <f t="shared" si="67"/>
        <v>0</v>
      </c>
      <c r="L773" s="190" t="s">
        <v>1546</v>
      </c>
    </row>
    <row r="774" spans="1:12" s="180" customFormat="1" ht="8.65" customHeight="1" x14ac:dyDescent="0.15">
      <c r="A774" s="187" t="s">
        <v>664</v>
      </c>
      <c r="B774" s="187" t="s">
        <v>1660</v>
      </c>
      <c r="C774" s="187" t="s">
        <v>1269</v>
      </c>
      <c r="D774" s="187" t="s">
        <v>1661</v>
      </c>
      <c r="E774" s="187" t="s">
        <v>205</v>
      </c>
      <c r="F774" s="188"/>
      <c r="G774" s="18">
        <v>67550.7</v>
      </c>
      <c r="H774" s="18"/>
      <c r="I774" s="189">
        <v>144300</v>
      </c>
      <c r="J774" s="189">
        <f>+G774+110250</f>
        <v>177800.7</v>
      </c>
      <c r="K774" s="189">
        <f>+J774-I774</f>
        <v>33500.700000000012</v>
      </c>
      <c r="L774" s="190" t="s">
        <v>1546</v>
      </c>
    </row>
    <row r="775" spans="1:12" s="180" customFormat="1" ht="8.65" customHeight="1" x14ac:dyDescent="0.15">
      <c r="A775" s="187" t="s">
        <v>664</v>
      </c>
      <c r="B775" s="187" t="s">
        <v>1662</v>
      </c>
      <c r="C775" s="187" t="s">
        <v>1269</v>
      </c>
      <c r="D775" s="187" t="s">
        <v>1663</v>
      </c>
      <c r="E775" s="187" t="s">
        <v>205</v>
      </c>
      <c r="F775" s="188"/>
      <c r="G775" s="18">
        <v>43801.5</v>
      </c>
      <c r="H775" s="18"/>
      <c r="I775" s="189">
        <v>150000</v>
      </c>
      <c r="J775" s="189">
        <f>123500+G775</f>
        <v>167301.5</v>
      </c>
      <c r="K775" s="189">
        <f>+J775-I775</f>
        <v>17301.5</v>
      </c>
      <c r="L775" s="190" t="s">
        <v>1546</v>
      </c>
    </row>
    <row r="776" spans="1:12" s="180" customFormat="1" ht="8.65" customHeight="1" x14ac:dyDescent="0.15">
      <c r="A776" s="187" t="s">
        <v>664</v>
      </c>
      <c r="B776" s="187" t="s">
        <v>1664</v>
      </c>
      <c r="C776" s="187" t="s">
        <v>1269</v>
      </c>
      <c r="D776" s="187" t="s">
        <v>1665</v>
      </c>
      <c r="E776" s="187" t="s">
        <v>205</v>
      </c>
      <c r="F776" s="188"/>
      <c r="G776" s="18"/>
      <c r="H776" s="18">
        <v>84000</v>
      </c>
      <c r="I776" s="189"/>
      <c r="J776" s="189">
        <f>84000-H776</f>
        <v>0</v>
      </c>
      <c r="K776" s="189">
        <f t="shared" si="67"/>
        <v>0</v>
      </c>
      <c r="L776" s="190" t="s">
        <v>1546</v>
      </c>
    </row>
    <row r="777" spans="1:12" s="180" customFormat="1" ht="8.65" customHeight="1" x14ac:dyDescent="0.15">
      <c r="A777" s="187" t="s">
        <v>664</v>
      </c>
      <c r="B777" s="187" t="s">
        <v>1666</v>
      </c>
      <c r="C777" s="187" t="s">
        <v>1269</v>
      </c>
      <c r="D777" s="187" t="s">
        <v>1667</v>
      </c>
      <c r="E777" s="187" t="s">
        <v>205</v>
      </c>
      <c r="F777" s="188"/>
      <c r="G777" s="18"/>
      <c r="H777" s="18">
        <v>367500</v>
      </c>
      <c r="I777" s="189"/>
      <c r="J777" s="189">
        <f>367500-H$777</f>
        <v>0</v>
      </c>
      <c r="K777" s="189">
        <f t="shared" si="67"/>
        <v>0</v>
      </c>
      <c r="L777" s="190" t="s">
        <v>1546</v>
      </c>
    </row>
    <row r="778" spans="1:12" s="180" customFormat="1" ht="8.65" customHeight="1" x14ac:dyDescent="0.15">
      <c r="A778" s="187" t="s">
        <v>664</v>
      </c>
      <c r="B778" s="187" t="s">
        <v>1668</v>
      </c>
      <c r="C778" s="187" t="s">
        <v>1394</v>
      </c>
      <c r="D778" s="187" t="s">
        <v>1669</v>
      </c>
      <c r="E778" s="187" t="s">
        <v>205</v>
      </c>
      <c r="F778" s="188"/>
      <c r="G778" s="18"/>
      <c r="H778" s="18">
        <v>117600</v>
      </c>
      <c r="I778" s="189"/>
      <c r="J778" s="189">
        <f t="shared" ref="J778:J782" si="69">367500-H$777</f>
        <v>0</v>
      </c>
      <c r="K778" s="189">
        <f t="shared" si="67"/>
        <v>0</v>
      </c>
      <c r="L778" s="190" t="s">
        <v>1546</v>
      </c>
    </row>
    <row r="779" spans="1:12" s="180" customFormat="1" ht="8.65" customHeight="1" x14ac:dyDescent="0.15">
      <c r="A779" s="187" t="s">
        <v>664</v>
      </c>
      <c r="B779" s="187" t="s">
        <v>1670</v>
      </c>
      <c r="C779" s="187" t="s">
        <v>1394</v>
      </c>
      <c r="D779" s="187" t="s">
        <v>1671</v>
      </c>
      <c r="E779" s="187" t="s">
        <v>205</v>
      </c>
      <c r="F779" s="188"/>
      <c r="G779" s="18"/>
      <c r="H779" s="18">
        <v>199500</v>
      </c>
      <c r="I779" s="189"/>
      <c r="J779" s="189">
        <f t="shared" si="69"/>
        <v>0</v>
      </c>
      <c r="K779" s="189">
        <f t="shared" si="67"/>
        <v>0</v>
      </c>
      <c r="L779" s="190" t="s">
        <v>1546</v>
      </c>
    </row>
    <row r="780" spans="1:12" s="180" customFormat="1" ht="8.65" customHeight="1" x14ac:dyDescent="0.15">
      <c r="A780" s="187" t="s">
        <v>664</v>
      </c>
      <c r="B780" s="187" t="s">
        <v>1672</v>
      </c>
      <c r="C780" s="187" t="s">
        <v>1394</v>
      </c>
      <c r="D780" s="187" t="s">
        <v>1673</v>
      </c>
      <c r="E780" s="187" t="s">
        <v>205</v>
      </c>
      <c r="F780" s="188"/>
      <c r="G780" s="18"/>
      <c r="H780" s="18">
        <v>259350</v>
      </c>
      <c r="I780" s="189"/>
      <c r="J780" s="189">
        <f t="shared" si="69"/>
        <v>0</v>
      </c>
      <c r="K780" s="189">
        <f t="shared" ref="K780:K843" si="70">+J780-I$632</f>
        <v>0</v>
      </c>
      <c r="L780" s="190" t="s">
        <v>1546</v>
      </c>
    </row>
    <row r="781" spans="1:12" s="180" customFormat="1" ht="8.65" customHeight="1" x14ac:dyDescent="0.15">
      <c r="A781" s="187" t="s">
        <v>664</v>
      </c>
      <c r="B781" s="187" t="s">
        <v>1674</v>
      </c>
      <c r="C781" s="187" t="s">
        <v>1394</v>
      </c>
      <c r="D781" s="187" t="s">
        <v>1675</v>
      </c>
      <c r="E781" s="187" t="s">
        <v>205</v>
      </c>
      <c r="F781" s="188"/>
      <c r="G781" s="18"/>
      <c r="H781" s="18">
        <v>168000</v>
      </c>
      <c r="I781" s="189"/>
      <c r="J781" s="189">
        <f t="shared" si="69"/>
        <v>0</v>
      </c>
      <c r="K781" s="189">
        <f t="shared" si="70"/>
        <v>0</v>
      </c>
      <c r="L781" s="190" t="s">
        <v>1546</v>
      </c>
    </row>
    <row r="782" spans="1:12" s="180" customFormat="1" ht="8.65" customHeight="1" x14ac:dyDescent="0.15">
      <c r="A782" s="187" t="s">
        <v>664</v>
      </c>
      <c r="B782" s="187" t="s">
        <v>1676</v>
      </c>
      <c r="C782" s="187" t="s">
        <v>1394</v>
      </c>
      <c r="D782" s="187" t="s">
        <v>1677</v>
      </c>
      <c r="E782" s="187" t="s">
        <v>205</v>
      </c>
      <c r="F782" s="188"/>
      <c r="G782" s="18"/>
      <c r="H782" s="18">
        <v>17095</v>
      </c>
      <c r="I782" s="189"/>
      <c r="J782" s="189">
        <f t="shared" si="69"/>
        <v>0</v>
      </c>
      <c r="K782" s="189">
        <f t="shared" si="70"/>
        <v>0</v>
      </c>
      <c r="L782" s="190" t="s">
        <v>1546</v>
      </c>
    </row>
    <row r="783" spans="1:12" s="180" customFormat="1" ht="8.65" customHeight="1" x14ac:dyDescent="0.15">
      <c r="A783" s="187" t="s">
        <v>664</v>
      </c>
      <c r="B783" s="187" t="s">
        <v>1678</v>
      </c>
      <c r="C783" s="187" t="s">
        <v>1394</v>
      </c>
      <c r="D783" s="187" t="s">
        <v>1679</v>
      </c>
      <c r="E783" s="187" t="s">
        <v>205</v>
      </c>
      <c r="F783" s="188"/>
      <c r="G783" s="18"/>
      <c r="H783" s="18">
        <v>166412</v>
      </c>
      <c r="I783" s="189"/>
      <c r="J783" s="189">
        <f>189000-H783</f>
        <v>22588</v>
      </c>
      <c r="K783" s="189">
        <f t="shared" si="70"/>
        <v>22588</v>
      </c>
      <c r="L783" s="190" t="s">
        <v>1546</v>
      </c>
    </row>
    <row r="784" spans="1:12" s="180" customFormat="1" ht="8.65" customHeight="1" x14ac:dyDescent="0.15">
      <c r="A784" s="187" t="s">
        <v>664</v>
      </c>
      <c r="B784" s="187" t="s">
        <v>1680</v>
      </c>
      <c r="C784" s="187" t="s">
        <v>1394</v>
      </c>
      <c r="D784" s="187" t="s">
        <v>1681</v>
      </c>
      <c r="E784" s="187" t="s">
        <v>205</v>
      </c>
      <c r="F784" s="188"/>
      <c r="G784" s="18"/>
      <c r="H784" s="18">
        <v>971.98</v>
      </c>
      <c r="I784" s="189">
        <v>66476.039999999994</v>
      </c>
      <c r="J784" s="189">
        <f>67800-H784</f>
        <v>66828.02</v>
      </c>
      <c r="K784" s="189">
        <f>+J784-I784</f>
        <v>351.98000000001048</v>
      </c>
      <c r="L784" s="190" t="s">
        <v>1546</v>
      </c>
    </row>
    <row r="785" spans="1:12" s="180" customFormat="1" ht="8.65" customHeight="1" x14ac:dyDescent="0.15">
      <c r="A785" s="187" t="s">
        <v>664</v>
      </c>
      <c r="B785" s="187" t="s">
        <v>1682</v>
      </c>
      <c r="C785" s="187" t="s">
        <v>1389</v>
      </c>
      <c r="D785" s="187" t="s">
        <v>1683</v>
      </c>
      <c r="E785" s="187" t="s">
        <v>205</v>
      </c>
      <c r="F785" s="188"/>
      <c r="G785" s="18"/>
      <c r="H785" s="18"/>
      <c r="I785" s="189"/>
      <c r="J785" s="189">
        <v>315000</v>
      </c>
      <c r="K785" s="189">
        <f t="shared" si="70"/>
        <v>315000</v>
      </c>
      <c r="L785" s="190" t="s">
        <v>1546</v>
      </c>
    </row>
    <row r="786" spans="1:12" s="180" customFormat="1" ht="8.65" customHeight="1" x14ac:dyDescent="0.15">
      <c r="A786" s="187" t="s">
        <v>664</v>
      </c>
      <c r="B786" s="187" t="s">
        <v>1684</v>
      </c>
      <c r="C786" s="187" t="s">
        <v>676</v>
      </c>
      <c r="D786" s="187" t="s">
        <v>1685</v>
      </c>
      <c r="E786" s="187" t="s">
        <v>205</v>
      </c>
      <c r="F786" s="188"/>
      <c r="G786" s="18"/>
      <c r="H786" s="18"/>
      <c r="I786" s="189"/>
      <c r="J786" s="189">
        <v>173250</v>
      </c>
      <c r="K786" s="189">
        <f t="shared" si="70"/>
        <v>173250</v>
      </c>
      <c r="L786" s="190" t="s">
        <v>1546</v>
      </c>
    </row>
    <row r="787" spans="1:12" s="180" customFormat="1" ht="8.65" customHeight="1" x14ac:dyDescent="0.15">
      <c r="A787" s="187" t="s">
        <v>664</v>
      </c>
      <c r="B787" s="187" t="s">
        <v>1686</v>
      </c>
      <c r="C787" s="187" t="s">
        <v>1389</v>
      </c>
      <c r="D787" s="187" t="s">
        <v>1687</v>
      </c>
      <c r="E787" s="187" t="s">
        <v>205</v>
      </c>
      <c r="F787" s="188"/>
      <c r="G787" s="18"/>
      <c r="H787" s="18"/>
      <c r="I787" s="189"/>
      <c r="J787" s="189">
        <v>352800</v>
      </c>
      <c r="K787" s="189">
        <f t="shared" si="70"/>
        <v>352800</v>
      </c>
      <c r="L787" s="190" t="s">
        <v>1546</v>
      </c>
    </row>
    <row r="788" spans="1:12" s="180" customFormat="1" ht="8.65" customHeight="1" x14ac:dyDescent="0.15">
      <c r="A788" s="187" t="s">
        <v>664</v>
      </c>
      <c r="B788" s="187" t="s">
        <v>1688</v>
      </c>
      <c r="C788" s="187" t="s">
        <v>1389</v>
      </c>
      <c r="D788" s="187" t="s">
        <v>1689</v>
      </c>
      <c r="E788" s="187" t="s">
        <v>205</v>
      </c>
      <c r="F788" s="188"/>
      <c r="G788" s="18"/>
      <c r="H788" s="18"/>
      <c r="I788" s="189"/>
      <c r="J788" s="189">
        <v>845500</v>
      </c>
      <c r="K788" s="189">
        <f t="shared" si="70"/>
        <v>845500</v>
      </c>
      <c r="L788" s="190" t="s">
        <v>1546</v>
      </c>
    </row>
    <row r="789" spans="1:12" s="180" customFormat="1" ht="8.65" customHeight="1" x14ac:dyDescent="0.15">
      <c r="A789" s="187" t="s">
        <v>664</v>
      </c>
      <c r="B789" s="187" t="s">
        <v>1690</v>
      </c>
      <c r="C789" s="187" t="s">
        <v>1389</v>
      </c>
      <c r="D789" s="187" t="s">
        <v>1691</v>
      </c>
      <c r="E789" s="187" t="s">
        <v>205</v>
      </c>
      <c r="F789" s="188"/>
      <c r="G789" s="18"/>
      <c r="H789" s="18">
        <v>1246000</v>
      </c>
      <c r="I789" s="189"/>
      <c r="J789" s="189">
        <f>1246000-H$789</f>
        <v>0</v>
      </c>
      <c r="K789" s="189">
        <f t="shared" si="70"/>
        <v>0</v>
      </c>
      <c r="L789" s="190" t="s">
        <v>1546</v>
      </c>
    </row>
    <row r="790" spans="1:12" s="180" customFormat="1" ht="8.65" customHeight="1" x14ac:dyDescent="0.15">
      <c r="A790" s="187" t="s">
        <v>664</v>
      </c>
      <c r="B790" s="187" t="s">
        <v>1692</v>
      </c>
      <c r="C790" s="187" t="s">
        <v>1389</v>
      </c>
      <c r="D790" s="187" t="s">
        <v>1693</v>
      </c>
      <c r="E790" s="187" t="s">
        <v>205</v>
      </c>
      <c r="F790" s="188"/>
      <c r="G790" s="18"/>
      <c r="H790" s="18">
        <v>551250</v>
      </c>
      <c r="I790" s="189"/>
      <c r="J790" s="189">
        <f t="shared" ref="J790:J798" si="71">1246000-H$789</f>
        <v>0</v>
      </c>
      <c r="K790" s="189">
        <f t="shared" si="70"/>
        <v>0</v>
      </c>
      <c r="L790" s="190" t="s">
        <v>1560</v>
      </c>
    </row>
    <row r="791" spans="1:12" s="180" customFormat="1" ht="8.65" customHeight="1" x14ac:dyDescent="0.15">
      <c r="A791" s="187" t="s">
        <v>664</v>
      </c>
      <c r="B791" s="187" t="s">
        <v>1694</v>
      </c>
      <c r="C791" s="187" t="s">
        <v>1389</v>
      </c>
      <c r="D791" s="187" t="s">
        <v>1695</v>
      </c>
      <c r="E791" s="187" t="s">
        <v>205</v>
      </c>
      <c r="F791" s="188"/>
      <c r="G791" s="18"/>
      <c r="H791" s="18">
        <v>170100</v>
      </c>
      <c r="I791" s="189"/>
      <c r="J791" s="189">
        <f t="shared" si="71"/>
        <v>0</v>
      </c>
      <c r="K791" s="189">
        <f t="shared" si="70"/>
        <v>0</v>
      </c>
      <c r="L791" s="190" t="s">
        <v>1560</v>
      </c>
    </row>
    <row r="792" spans="1:12" s="180" customFormat="1" ht="8.65" customHeight="1" x14ac:dyDescent="0.15">
      <c r="A792" s="187" t="s">
        <v>664</v>
      </c>
      <c r="B792" s="187" t="s">
        <v>1696</v>
      </c>
      <c r="C792" s="187" t="s">
        <v>1389</v>
      </c>
      <c r="D792" s="187" t="s">
        <v>1697</v>
      </c>
      <c r="E792" s="187" t="s">
        <v>205</v>
      </c>
      <c r="F792" s="188"/>
      <c r="G792" s="18"/>
      <c r="H792" s="18">
        <v>273000</v>
      </c>
      <c r="I792" s="189"/>
      <c r="J792" s="189">
        <f t="shared" si="71"/>
        <v>0</v>
      </c>
      <c r="K792" s="189">
        <f t="shared" si="70"/>
        <v>0</v>
      </c>
      <c r="L792" s="190" t="s">
        <v>1560</v>
      </c>
    </row>
    <row r="793" spans="1:12" s="180" customFormat="1" ht="8.65" customHeight="1" x14ac:dyDescent="0.15">
      <c r="A793" s="187" t="s">
        <v>664</v>
      </c>
      <c r="B793" s="187" t="s">
        <v>1698</v>
      </c>
      <c r="C793" s="187" t="s">
        <v>1389</v>
      </c>
      <c r="D793" s="187" t="s">
        <v>1699</v>
      </c>
      <c r="E793" s="187" t="s">
        <v>205</v>
      </c>
      <c r="F793" s="188"/>
      <c r="G793" s="18"/>
      <c r="H793" s="18">
        <v>59250</v>
      </c>
      <c r="I793" s="189"/>
      <c r="J793" s="189">
        <f t="shared" si="71"/>
        <v>0</v>
      </c>
      <c r="K793" s="189">
        <f t="shared" si="70"/>
        <v>0</v>
      </c>
      <c r="L793" s="190" t="s">
        <v>551</v>
      </c>
    </row>
    <row r="794" spans="1:12" s="180" customFormat="1" ht="8.65" customHeight="1" x14ac:dyDescent="0.15">
      <c r="A794" s="187" t="s">
        <v>664</v>
      </c>
      <c r="B794" s="187" t="s">
        <v>1700</v>
      </c>
      <c r="C794" s="187" t="s">
        <v>1530</v>
      </c>
      <c r="D794" s="187" t="s">
        <v>1701</v>
      </c>
      <c r="E794" s="187" t="s">
        <v>205</v>
      </c>
      <c r="F794" s="188"/>
      <c r="G794" s="18"/>
      <c r="H794" s="18">
        <v>466200</v>
      </c>
      <c r="I794" s="189"/>
      <c r="J794" s="189">
        <f t="shared" si="71"/>
        <v>0</v>
      </c>
      <c r="K794" s="189">
        <f t="shared" si="70"/>
        <v>0</v>
      </c>
      <c r="L794" s="190" t="s">
        <v>551</v>
      </c>
    </row>
    <row r="795" spans="1:12" s="180" customFormat="1" ht="8.65" customHeight="1" x14ac:dyDescent="0.15">
      <c r="A795" s="187" t="s">
        <v>664</v>
      </c>
      <c r="B795" s="187" t="s">
        <v>1702</v>
      </c>
      <c r="C795" s="187" t="s">
        <v>1394</v>
      </c>
      <c r="D795" s="187" t="s">
        <v>1703</v>
      </c>
      <c r="E795" s="187" t="s">
        <v>205</v>
      </c>
      <c r="F795" s="188"/>
      <c r="G795" s="18"/>
      <c r="H795" s="18">
        <v>43880</v>
      </c>
      <c r="I795" s="189"/>
      <c r="J795" s="189">
        <f t="shared" si="71"/>
        <v>0</v>
      </c>
      <c r="K795" s="189">
        <f t="shared" si="70"/>
        <v>0</v>
      </c>
      <c r="L795" s="190" t="s">
        <v>551</v>
      </c>
    </row>
    <row r="796" spans="1:12" s="180" customFormat="1" ht="8.65" customHeight="1" x14ac:dyDescent="0.15">
      <c r="A796" s="187" t="s">
        <v>664</v>
      </c>
      <c r="B796" s="187" t="s">
        <v>1704</v>
      </c>
      <c r="C796" s="187" t="s">
        <v>1269</v>
      </c>
      <c r="D796" s="187" t="s">
        <v>1705</v>
      </c>
      <c r="E796" s="187" t="s">
        <v>205</v>
      </c>
      <c r="F796" s="188"/>
      <c r="G796" s="18"/>
      <c r="H796" s="18">
        <v>315000</v>
      </c>
      <c r="I796" s="189"/>
      <c r="J796" s="189">
        <f t="shared" si="71"/>
        <v>0</v>
      </c>
      <c r="K796" s="189">
        <f t="shared" si="70"/>
        <v>0</v>
      </c>
      <c r="L796" s="190" t="s">
        <v>551</v>
      </c>
    </row>
    <row r="797" spans="1:12" s="180" customFormat="1" ht="8.65" customHeight="1" x14ac:dyDescent="0.15">
      <c r="A797" s="187" t="s">
        <v>664</v>
      </c>
      <c r="B797" s="187" t="s">
        <v>1706</v>
      </c>
      <c r="C797" s="187" t="s">
        <v>1707</v>
      </c>
      <c r="D797" s="187" t="s">
        <v>1708</v>
      </c>
      <c r="E797" s="187" t="s">
        <v>205</v>
      </c>
      <c r="F797" s="188"/>
      <c r="G797" s="18"/>
      <c r="H797" s="18">
        <f>38000+207400</f>
        <v>245400</v>
      </c>
      <c r="I797" s="189"/>
      <c r="J797" s="189">
        <f t="shared" si="71"/>
        <v>0</v>
      </c>
      <c r="K797" s="189">
        <f t="shared" si="70"/>
        <v>0</v>
      </c>
      <c r="L797" s="190" t="s">
        <v>1709</v>
      </c>
    </row>
    <row r="798" spans="1:12" s="180" customFormat="1" ht="8.65" customHeight="1" x14ac:dyDescent="0.15">
      <c r="A798" s="187" t="s">
        <v>664</v>
      </c>
      <c r="B798" s="187" t="s">
        <v>1710</v>
      </c>
      <c r="C798" s="187" t="s">
        <v>1530</v>
      </c>
      <c r="D798" s="187" t="s">
        <v>1711</v>
      </c>
      <c r="E798" s="187" t="s">
        <v>205</v>
      </c>
      <c r="F798" s="188"/>
      <c r="G798" s="18"/>
      <c r="H798" s="18">
        <v>48300</v>
      </c>
      <c r="I798" s="189"/>
      <c r="J798" s="189">
        <f t="shared" si="71"/>
        <v>0</v>
      </c>
      <c r="K798" s="189">
        <f t="shared" si="70"/>
        <v>0</v>
      </c>
      <c r="L798" s="190" t="s">
        <v>551</v>
      </c>
    </row>
    <row r="799" spans="1:12" s="180" customFormat="1" ht="8.65" customHeight="1" x14ac:dyDescent="0.15">
      <c r="A799" s="187" t="s">
        <v>664</v>
      </c>
      <c r="B799" s="187" t="s">
        <v>1712</v>
      </c>
      <c r="C799" s="187" t="s">
        <v>1530</v>
      </c>
      <c r="D799" s="187" t="s">
        <v>1713</v>
      </c>
      <c r="E799" s="187" t="s">
        <v>205</v>
      </c>
      <c r="F799" s="188"/>
      <c r="G799" s="18"/>
      <c r="H799" s="18"/>
      <c r="I799" s="189"/>
      <c r="J799" s="189">
        <v>118390</v>
      </c>
      <c r="K799" s="189">
        <f t="shared" si="70"/>
        <v>118390</v>
      </c>
      <c r="L799" s="190" t="s">
        <v>551</v>
      </c>
    </row>
    <row r="800" spans="1:12" s="180" customFormat="1" ht="8.65" customHeight="1" x14ac:dyDescent="0.15">
      <c r="A800" s="187" t="s">
        <v>664</v>
      </c>
      <c r="B800" s="187" t="s">
        <v>1714</v>
      </c>
      <c r="C800" s="187" t="s">
        <v>1530</v>
      </c>
      <c r="D800" s="187" t="s">
        <v>1715</v>
      </c>
      <c r="E800" s="187" t="s">
        <v>205</v>
      </c>
      <c r="F800" s="188"/>
      <c r="G800" s="18"/>
      <c r="H800" s="18"/>
      <c r="I800" s="189"/>
      <c r="J800" s="189">
        <v>97340</v>
      </c>
      <c r="K800" s="189">
        <f t="shared" si="70"/>
        <v>97340</v>
      </c>
      <c r="L800" s="190" t="s">
        <v>551</v>
      </c>
    </row>
    <row r="801" spans="1:12" s="180" customFormat="1" ht="8.65" customHeight="1" x14ac:dyDescent="0.15">
      <c r="A801" s="187" t="s">
        <v>664</v>
      </c>
      <c r="B801" s="187" t="s">
        <v>1716</v>
      </c>
      <c r="C801" s="187" t="s">
        <v>1530</v>
      </c>
      <c r="D801" s="187" t="s">
        <v>1717</v>
      </c>
      <c r="E801" s="187" t="s">
        <v>205</v>
      </c>
      <c r="F801" s="188"/>
      <c r="G801" s="18"/>
      <c r="H801" s="18"/>
      <c r="I801" s="189">
        <v>183761.73</v>
      </c>
      <c r="J801" s="189">
        <v>273000</v>
      </c>
      <c r="K801" s="189">
        <f>+J801-I801</f>
        <v>89238.26999999999</v>
      </c>
      <c r="L801" s="190" t="s">
        <v>551</v>
      </c>
    </row>
    <row r="802" spans="1:12" s="180" customFormat="1" ht="8.65" customHeight="1" x14ac:dyDescent="0.15">
      <c r="A802" s="187" t="s">
        <v>664</v>
      </c>
      <c r="B802" s="187" t="s">
        <v>1718</v>
      </c>
      <c r="C802" s="187" t="s">
        <v>1530</v>
      </c>
      <c r="D802" s="187" t="s">
        <v>1719</v>
      </c>
      <c r="E802" s="187" t="s">
        <v>205</v>
      </c>
      <c r="F802" s="188"/>
      <c r="G802" s="18"/>
      <c r="H802" s="18">
        <v>33600</v>
      </c>
      <c r="I802" s="189"/>
      <c r="J802" s="189">
        <f>33600-H802</f>
        <v>0</v>
      </c>
      <c r="K802" s="189">
        <f t="shared" si="70"/>
        <v>0</v>
      </c>
      <c r="L802" s="190" t="s">
        <v>551</v>
      </c>
    </row>
    <row r="803" spans="1:12" s="180" customFormat="1" ht="8.65" customHeight="1" x14ac:dyDescent="0.15">
      <c r="A803" s="187" t="s">
        <v>664</v>
      </c>
      <c r="B803" s="187" t="s">
        <v>1720</v>
      </c>
      <c r="C803" s="187" t="s">
        <v>1530</v>
      </c>
      <c r="D803" s="187" t="s">
        <v>1721</v>
      </c>
      <c r="E803" s="187" t="s">
        <v>205</v>
      </c>
      <c r="F803" s="188"/>
      <c r="G803" s="18"/>
      <c r="H803" s="18"/>
      <c r="I803" s="189"/>
      <c r="J803" s="189">
        <v>31500</v>
      </c>
      <c r="K803" s="189">
        <f t="shared" si="70"/>
        <v>31500</v>
      </c>
      <c r="L803" s="190" t="s">
        <v>551</v>
      </c>
    </row>
    <row r="804" spans="1:12" s="180" customFormat="1" ht="8.65" customHeight="1" x14ac:dyDescent="0.15">
      <c r="A804" s="187" t="s">
        <v>664</v>
      </c>
      <c r="B804" s="187" t="s">
        <v>1722</v>
      </c>
      <c r="C804" s="187" t="s">
        <v>1530</v>
      </c>
      <c r="D804" s="187" t="s">
        <v>1723</v>
      </c>
      <c r="E804" s="187" t="s">
        <v>205</v>
      </c>
      <c r="F804" s="188"/>
      <c r="G804" s="18"/>
      <c r="H804" s="18"/>
      <c r="I804" s="189">
        <v>211065.13</v>
      </c>
      <c r="J804" s="189">
        <v>220500</v>
      </c>
      <c r="K804" s="189">
        <f>+J804-I804</f>
        <v>9434.8699999999953</v>
      </c>
      <c r="L804" s="190" t="s">
        <v>551</v>
      </c>
    </row>
    <row r="805" spans="1:12" s="211" customFormat="1" ht="8.65" customHeight="1" x14ac:dyDescent="0.15">
      <c r="A805" s="187" t="s">
        <v>664</v>
      </c>
      <c r="B805" s="187" t="s">
        <v>1724</v>
      </c>
      <c r="C805" s="187" t="s">
        <v>1530</v>
      </c>
      <c r="D805" s="187" t="s">
        <v>1725</v>
      </c>
      <c r="E805" s="187" t="s">
        <v>205</v>
      </c>
      <c r="F805" s="188"/>
      <c r="G805" s="18"/>
      <c r="H805" s="18"/>
      <c r="I805" s="189">
        <v>43874.400000000001</v>
      </c>
      <c r="J805" s="189">
        <v>59850</v>
      </c>
      <c r="K805" s="189">
        <f>+J805-I805</f>
        <v>15975.599999999999</v>
      </c>
      <c r="L805" s="190" t="s">
        <v>551</v>
      </c>
    </row>
    <row r="806" spans="1:12" s="211" customFormat="1" ht="8.65" customHeight="1" x14ac:dyDescent="0.15">
      <c r="A806" s="187" t="s">
        <v>664</v>
      </c>
      <c r="B806" s="187" t="s">
        <v>1726</v>
      </c>
      <c r="C806" s="187" t="s">
        <v>717</v>
      </c>
      <c r="D806" s="187" t="s">
        <v>1727</v>
      </c>
      <c r="E806" s="187" t="s">
        <v>205</v>
      </c>
      <c r="F806" s="188"/>
      <c r="G806" s="18"/>
      <c r="H806" s="18"/>
      <c r="I806" s="189">
        <v>132549</v>
      </c>
      <c r="J806" s="189">
        <v>191595</v>
      </c>
      <c r="K806" s="189">
        <f>+J806-I806</f>
        <v>59046</v>
      </c>
      <c r="L806" s="190" t="s">
        <v>551</v>
      </c>
    </row>
    <row r="807" spans="1:12" s="180" customFormat="1" ht="8.65" customHeight="1" x14ac:dyDescent="0.15">
      <c r="A807" s="187" t="s">
        <v>664</v>
      </c>
      <c r="B807" s="187" t="s">
        <v>1728</v>
      </c>
      <c r="C807" s="187" t="s">
        <v>1269</v>
      </c>
      <c r="D807" s="187" t="s">
        <v>1729</v>
      </c>
      <c r="E807" s="187" t="s">
        <v>205</v>
      </c>
      <c r="F807" s="188"/>
      <c r="G807" s="18"/>
      <c r="H807" s="18">
        <v>157305.01</v>
      </c>
      <c r="I807" s="189"/>
      <c r="J807" s="189">
        <f>157500-H807</f>
        <v>194.98999999999069</v>
      </c>
      <c r="K807" s="189">
        <f t="shared" si="70"/>
        <v>194.98999999999069</v>
      </c>
      <c r="L807" s="190" t="s">
        <v>551</v>
      </c>
    </row>
    <row r="808" spans="1:12" s="180" customFormat="1" ht="8.65" customHeight="1" x14ac:dyDescent="0.15">
      <c r="A808" s="187" t="s">
        <v>664</v>
      </c>
      <c r="B808" s="187" t="s">
        <v>1730</v>
      </c>
      <c r="C808" s="187" t="s">
        <v>676</v>
      </c>
      <c r="D808" s="187" t="s">
        <v>1731</v>
      </c>
      <c r="E808" s="187" t="s">
        <v>205</v>
      </c>
      <c r="F808" s="188"/>
      <c r="G808" s="18"/>
      <c r="H808" s="18"/>
      <c r="I808" s="189"/>
      <c r="J808" s="189">
        <v>63000</v>
      </c>
      <c r="K808" s="189">
        <f t="shared" si="70"/>
        <v>63000</v>
      </c>
      <c r="L808" s="190" t="s">
        <v>551</v>
      </c>
    </row>
    <row r="809" spans="1:12" s="180" customFormat="1" ht="8.65" customHeight="1" x14ac:dyDescent="0.15">
      <c r="A809" s="187" t="s">
        <v>664</v>
      </c>
      <c r="B809" s="187" t="s">
        <v>1732</v>
      </c>
      <c r="C809" s="187" t="s">
        <v>1269</v>
      </c>
      <c r="D809" s="187" t="s">
        <v>1733</v>
      </c>
      <c r="E809" s="187" t="s">
        <v>205</v>
      </c>
      <c r="F809" s="188"/>
      <c r="G809" s="18"/>
      <c r="H809" s="18">
        <v>16800</v>
      </c>
      <c r="I809" s="189"/>
      <c r="J809" s="189">
        <f>16800-H$809</f>
        <v>0</v>
      </c>
      <c r="K809" s="189">
        <f t="shared" si="70"/>
        <v>0</v>
      </c>
      <c r="L809" s="190" t="s">
        <v>551</v>
      </c>
    </row>
    <row r="810" spans="1:12" s="180" customFormat="1" ht="8.65" customHeight="1" x14ac:dyDescent="0.15">
      <c r="A810" s="187" t="s">
        <v>664</v>
      </c>
      <c r="B810" s="187" t="s">
        <v>1734</v>
      </c>
      <c r="C810" s="187" t="s">
        <v>1269</v>
      </c>
      <c r="D810" s="187" t="s">
        <v>1735</v>
      </c>
      <c r="E810" s="187" t="s">
        <v>205</v>
      </c>
      <c r="F810" s="188"/>
      <c r="G810" s="18"/>
      <c r="H810" s="18">
        <v>3200</v>
      </c>
      <c r="I810" s="189"/>
      <c r="J810" s="189">
        <f t="shared" ref="J810:J814" si="72">16800-H$809</f>
        <v>0</v>
      </c>
      <c r="K810" s="189">
        <f t="shared" si="70"/>
        <v>0</v>
      </c>
      <c r="L810" s="190" t="s">
        <v>551</v>
      </c>
    </row>
    <row r="811" spans="1:12" s="180" customFormat="1" ht="8.65" customHeight="1" x14ac:dyDescent="0.15">
      <c r="A811" s="187" t="s">
        <v>664</v>
      </c>
      <c r="B811" s="187" t="s">
        <v>1736</v>
      </c>
      <c r="C811" s="187" t="s">
        <v>1269</v>
      </c>
      <c r="D811" s="187" t="s">
        <v>1737</v>
      </c>
      <c r="E811" s="187" t="s">
        <v>205</v>
      </c>
      <c r="F811" s="188"/>
      <c r="G811" s="18"/>
      <c r="H811" s="18">
        <v>24000</v>
      </c>
      <c r="I811" s="189"/>
      <c r="J811" s="189">
        <f t="shared" si="72"/>
        <v>0</v>
      </c>
      <c r="K811" s="189">
        <f t="shared" si="70"/>
        <v>0</v>
      </c>
      <c r="L811" s="190" t="s">
        <v>551</v>
      </c>
    </row>
    <row r="812" spans="1:12" s="180" customFormat="1" ht="8.65" customHeight="1" x14ac:dyDescent="0.15">
      <c r="A812" s="187" t="s">
        <v>664</v>
      </c>
      <c r="B812" s="187" t="s">
        <v>1738</v>
      </c>
      <c r="C812" s="187" t="s">
        <v>1269</v>
      </c>
      <c r="D812" s="187" t="s">
        <v>1739</v>
      </c>
      <c r="E812" s="187" t="s">
        <v>205</v>
      </c>
      <c r="F812" s="188"/>
      <c r="G812" s="18"/>
      <c r="H812" s="18">
        <v>24000</v>
      </c>
      <c r="I812" s="189"/>
      <c r="J812" s="189">
        <f t="shared" si="72"/>
        <v>0</v>
      </c>
      <c r="K812" s="189">
        <f t="shared" si="70"/>
        <v>0</v>
      </c>
      <c r="L812" s="190" t="s">
        <v>551</v>
      </c>
    </row>
    <row r="813" spans="1:12" s="180" customFormat="1" ht="8.65" customHeight="1" x14ac:dyDescent="0.15">
      <c r="A813" s="187" t="s">
        <v>664</v>
      </c>
      <c r="B813" s="187" t="s">
        <v>1740</v>
      </c>
      <c r="C813" s="187" t="s">
        <v>1269</v>
      </c>
      <c r="D813" s="187" t="s">
        <v>1741</v>
      </c>
      <c r="E813" s="187" t="s">
        <v>205</v>
      </c>
      <c r="F813" s="188"/>
      <c r="G813" s="18"/>
      <c r="H813" s="18">
        <v>16000</v>
      </c>
      <c r="I813" s="189"/>
      <c r="J813" s="189">
        <f t="shared" si="72"/>
        <v>0</v>
      </c>
      <c r="K813" s="189">
        <f t="shared" si="70"/>
        <v>0</v>
      </c>
      <c r="L813" s="190" t="s">
        <v>551</v>
      </c>
    </row>
    <row r="814" spans="1:12" s="180" customFormat="1" ht="8.65" customHeight="1" x14ac:dyDescent="0.15">
      <c r="A814" s="187" t="s">
        <v>664</v>
      </c>
      <c r="B814" s="187" t="s">
        <v>1742</v>
      </c>
      <c r="C814" s="187" t="s">
        <v>1269</v>
      </c>
      <c r="D814" s="187" t="s">
        <v>1743</v>
      </c>
      <c r="E814" s="187" t="s">
        <v>205</v>
      </c>
      <c r="F814" s="188"/>
      <c r="G814" s="18"/>
      <c r="H814" s="18">
        <v>21450</v>
      </c>
      <c r="I814" s="189"/>
      <c r="J814" s="189">
        <f t="shared" si="72"/>
        <v>0</v>
      </c>
      <c r="K814" s="189">
        <f t="shared" si="70"/>
        <v>0</v>
      </c>
      <c r="L814" s="190" t="s">
        <v>551</v>
      </c>
    </row>
    <row r="815" spans="1:12" s="180" customFormat="1" ht="8.65" customHeight="1" x14ac:dyDescent="0.15">
      <c r="A815" s="187" t="s">
        <v>664</v>
      </c>
      <c r="B815" s="187" t="s">
        <v>1744</v>
      </c>
      <c r="C815" s="187" t="s">
        <v>1269</v>
      </c>
      <c r="D815" s="187" t="s">
        <v>1745</v>
      </c>
      <c r="E815" s="187" t="s">
        <v>205</v>
      </c>
      <c r="F815" s="188"/>
      <c r="G815" s="18"/>
      <c r="H815" s="18">
        <v>21634</v>
      </c>
      <c r="I815" s="189"/>
      <c r="J815" s="189">
        <f>22050-H815</f>
        <v>416</v>
      </c>
      <c r="K815" s="189">
        <f t="shared" si="70"/>
        <v>416</v>
      </c>
      <c r="L815" s="190" t="s">
        <v>551</v>
      </c>
    </row>
    <row r="816" spans="1:12" s="180" customFormat="1" ht="8.65" customHeight="1" x14ac:dyDescent="0.15">
      <c r="A816" s="187" t="s">
        <v>664</v>
      </c>
      <c r="B816" s="187" t="s">
        <v>1746</v>
      </c>
      <c r="C816" s="187" t="s">
        <v>1530</v>
      </c>
      <c r="D816" s="187" t="s">
        <v>1747</v>
      </c>
      <c r="E816" s="187" t="s">
        <v>205</v>
      </c>
      <c r="F816" s="188"/>
      <c r="G816" s="18"/>
      <c r="H816" s="18">
        <v>4200</v>
      </c>
      <c r="I816" s="189"/>
      <c r="J816" s="189">
        <f>4200-H$816</f>
        <v>0</v>
      </c>
      <c r="K816" s="189">
        <f t="shared" si="70"/>
        <v>0</v>
      </c>
      <c r="L816" s="190" t="s">
        <v>551</v>
      </c>
    </row>
    <row r="817" spans="1:12" s="180" customFormat="1" ht="8.65" customHeight="1" x14ac:dyDescent="0.15">
      <c r="A817" s="187" t="s">
        <v>664</v>
      </c>
      <c r="B817" s="187" t="s">
        <v>1748</v>
      </c>
      <c r="C817" s="187" t="s">
        <v>1530</v>
      </c>
      <c r="D817" s="187" t="s">
        <v>1749</v>
      </c>
      <c r="E817" s="187" t="s">
        <v>205</v>
      </c>
      <c r="F817" s="188"/>
      <c r="G817" s="18"/>
      <c r="H817" s="18">
        <v>6000</v>
      </c>
      <c r="I817" s="189"/>
      <c r="J817" s="189">
        <f t="shared" ref="J817:J832" si="73">4200-H$816</f>
        <v>0</v>
      </c>
      <c r="K817" s="189">
        <f t="shared" si="70"/>
        <v>0</v>
      </c>
      <c r="L817" s="190" t="s">
        <v>551</v>
      </c>
    </row>
    <row r="818" spans="1:12" s="180" customFormat="1" ht="8.65" customHeight="1" x14ac:dyDescent="0.15">
      <c r="A818" s="187" t="s">
        <v>664</v>
      </c>
      <c r="B818" s="187" t="s">
        <v>1750</v>
      </c>
      <c r="C818" s="187" t="s">
        <v>1530</v>
      </c>
      <c r="D818" s="187" t="s">
        <v>1751</v>
      </c>
      <c r="E818" s="187" t="s">
        <v>205</v>
      </c>
      <c r="F818" s="188"/>
      <c r="G818" s="18"/>
      <c r="H818" s="18">
        <v>2000</v>
      </c>
      <c r="I818" s="189"/>
      <c r="J818" s="189">
        <f t="shared" si="73"/>
        <v>0</v>
      </c>
      <c r="K818" s="189">
        <f t="shared" si="70"/>
        <v>0</v>
      </c>
      <c r="L818" s="190" t="s">
        <v>551</v>
      </c>
    </row>
    <row r="819" spans="1:12" s="180" customFormat="1" ht="8.65" customHeight="1" x14ac:dyDescent="0.15">
      <c r="A819" s="187" t="s">
        <v>664</v>
      </c>
      <c r="B819" s="187" t="s">
        <v>1752</v>
      </c>
      <c r="C819" s="187" t="s">
        <v>1269</v>
      </c>
      <c r="D819" s="187" t="s">
        <v>1753</v>
      </c>
      <c r="E819" s="187" t="s">
        <v>205</v>
      </c>
      <c r="F819" s="188"/>
      <c r="G819" s="18"/>
      <c r="H819" s="18">
        <v>4725</v>
      </c>
      <c r="I819" s="189"/>
      <c r="J819" s="189">
        <f t="shared" si="73"/>
        <v>0</v>
      </c>
      <c r="K819" s="189">
        <f t="shared" si="70"/>
        <v>0</v>
      </c>
      <c r="L819" s="190" t="s">
        <v>551</v>
      </c>
    </row>
    <row r="820" spans="1:12" s="180" customFormat="1" ht="8.65" customHeight="1" x14ac:dyDescent="0.15">
      <c r="A820" s="187" t="s">
        <v>664</v>
      </c>
      <c r="B820" s="187" t="s">
        <v>1754</v>
      </c>
      <c r="C820" s="187" t="s">
        <v>1269</v>
      </c>
      <c r="D820" s="187" t="s">
        <v>1755</v>
      </c>
      <c r="E820" s="187" t="s">
        <v>205</v>
      </c>
      <c r="F820" s="188"/>
      <c r="G820" s="18"/>
      <c r="H820" s="18">
        <v>4725</v>
      </c>
      <c r="I820" s="189"/>
      <c r="J820" s="189">
        <f t="shared" si="73"/>
        <v>0</v>
      </c>
      <c r="K820" s="189">
        <f t="shared" si="70"/>
        <v>0</v>
      </c>
      <c r="L820" s="190" t="s">
        <v>551</v>
      </c>
    </row>
    <row r="821" spans="1:12" s="180" customFormat="1" ht="8.65" customHeight="1" x14ac:dyDescent="0.15">
      <c r="A821" s="187" t="s">
        <v>664</v>
      </c>
      <c r="B821" s="187" t="s">
        <v>1756</v>
      </c>
      <c r="C821" s="187" t="s">
        <v>1269</v>
      </c>
      <c r="D821" s="187" t="s">
        <v>1757</v>
      </c>
      <c r="E821" s="187" t="s">
        <v>205</v>
      </c>
      <c r="F821" s="188"/>
      <c r="G821" s="18"/>
      <c r="H821" s="18">
        <v>4725</v>
      </c>
      <c r="I821" s="189"/>
      <c r="J821" s="189">
        <f t="shared" si="73"/>
        <v>0</v>
      </c>
      <c r="K821" s="189">
        <f t="shared" si="70"/>
        <v>0</v>
      </c>
      <c r="L821" s="190" t="s">
        <v>551</v>
      </c>
    </row>
    <row r="822" spans="1:12" s="180" customFormat="1" ht="8.65" customHeight="1" x14ac:dyDescent="0.15">
      <c r="A822" s="187" t="s">
        <v>664</v>
      </c>
      <c r="B822" s="187" t="s">
        <v>1758</v>
      </c>
      <c r="C822" s="187" t="s">
        <v>1269</v>
      </c>
      <c r="D822" s="187" t="s">
        <v>1759</v>
      </c>
      <c r="E822" s="187" t="s">
        <v>205</v>
      </c>
      <c r="F822" s="188"/>
      <c r="G822" s="18"/>
      <c r="H822" s="18">
        <v>4400</v>
      </c>
      <c r="I822" s="189"/>
      <c r="J822" s="189">
        <f t="shared" si="73"/>
        <v>0</v>
      </c>
      <c r="K822" s="189">
        <f t="shared" si="70"/>
        <v>0</v>
      </c>
      <c r="L822" s="190" t="s">
        <v>551</v>
      </c>
    </row>
    <row r="823" spans="1:12" s="180" customFormat="1" ht="8.65" customHeight="1" x14ac:dyDescent="0.15">
      <c r="A823" s="187" t="s">
        <v>664</v>
      </c>
      <c r="B823" s="187" t="s">
        <v>1760</v>
      </c>
      <c r="C823" s="187" t="s">
        <v>1269</v>
      </c>
      <c r="D823" s="187" t="s">
        <v>1761</v>
      </c>
      <c r="E823" s="187" t="s">
        <v>205</v>
      </c>
      <c r="F823" s="188"/>
      <c r="G823" s="18"/>
      <c r="H823" s="18">
        <v>4725</v>
      </c>
      <c r="I823" s="189"/>
      <c r="J823" s="189">
        <f t="shared" si="73"/>
        <v>0</v>
      </c>
      <c r="K823" s="189">
        <f t="shared" si="70"/>
        <v>0</v>
      </c>
      <c r="L823" s="190" t="s">
        <v>551</v>
      </c>
    </row>
    <row r="824" spans="1:12" s="180" customFormat="1" ht="8.65" customHeight="1" x14ac:dyDescent="0.15">
      <c r="A824" s="187" t="s">
        <v>664</v>
      </c>
      <c r="B824" s="187" t="s">
        <v>1762</v>
      </c>
      <c r="C824" s="187" t="s">
        <v>1269</v>
      </c>
      <c r="D824" s="187" t="s">
        <v>1763</v>
      </c>
      <c r="E824" s="187" t="s">
        <v>205</v>
      </c>
      <c r="F824" s="188"/>
      <c r="G824" s="18"/>
      <c r="H824" s="18">
        <v>4400</v>
      </c>
      <c r="I824" s="189"/>
      <c r="J824" s="189">
        <f t="shared" si="73"/>
        <v>0</v>
      </c>
      <c r="K824" s="189">
        <f t="shared" si="70"/>
        <v>0</v>
      </c>
      <c r="L824" s="190" t="s">
        <v>551</v>
      </c>
    </row>
    <row r="825" spans="1:12" s="180" customFormat="1" ht="8.65" customHeight="1" x14ac:dyDescent="0.15">
      <c r="A825" s="187" t="s">
        <v>664</v>
      </c>
      <c r="B825" s="187" t="s">
        <v>1764</v>
      </c>
      <c r="C825" s="187" t="s">
        <v>1269</v>
      </c>
      <c r="D825" s="187" t="s">
        <v>1765</v>
      </c>
      <c r="E825" s="187" t="s">
        <v>205</v>
      </c>
      <c r="F825" s="188"/>
      <c r="G825" s="18"/>
      <c r="H825" s="18">
        <v>4725</v>
      </c>
      <c r="I825" s="189"/>
      <c r="J825" s="189">
        <f t="shared" si="73"/>
        <v>0</v>
      </c>
      <c r="K825" s="189">
        <f t="shared" si="70"/>
        <v>0</v>
      </c>
      <c r="L825" s="190" t="s">
        <v>551</v>
      </c>
    </row>
    <row r="826" spans="1:12" s="180" customFormat="1" ht="8.65" customHeight="1" x14ac:dyDescent="0.15">
      <c r="A826" s="187" t="s">
        <v>664</v>
      </c>
      <c r="B826" s="187" t="s">
        <v>1766</v>
      </c>
      <c r="C826" s="187" t="s">
        <v>1269</v>
      </c>
      <c r="D826" s="187" t="s">
        <v>1767</v>
      </c>
      <c r="E826" s="187" t="s">
        <v>205</v>
      </c>
      <c r="F826" s="188"/>
      <c r="G826" s="18"/>
      <c r="H826" s="18">
        <v>6400</v>
      </c>
      <c r="I826" s="189"/>
      <c r="J826" s="189">
        <f t="shared" si="73"/>
        <v>0</v>
      </c>
      <c r="K826" s="189">
        <f t="shared" si="70"/>
        <v>0</v>
      </c>
      <c r="L826" s="190" t="s">
        <v>551</v>
      </c>
    </row>
    <row r="827" spans="1:12" s="180" customFormat="1" ht="8.65" customHeight="1" x14ac:dyDescent="0.15">
      <c r="A827" s="187" t="s">
        <v>664</v>
      </c>
      <c r="B827" s="187" t="s">
        <v>1768</v>
      </c>
      <c r="C827" s="187" t="s">
        <v>1269</v>
      </c>
      <c r="D827" s="187" t="s">
        <v>1769</v>
      </c>
      <c r="E827" s="187" t="s">
        <v>205</v>
      </c>
      <c r="F827" s="188"/>
      <c r="G827" s="18"/>
      <c r="H827" s="18">
        <v>5250</v>
      </c>
      <c r="I827" s="189"/>
      <c r="J827" s="189">
        <f t="shared" si="73"/>
        <v>0</v>
      </c>
      <c r="K827" s="189">
        <f t="shared" si="70"/>
        <v>0</v>
      </c>
      <c r="L827" s="190" t="s">
        <v>551</v>
      </c>
    </row>
    <row r="828" spans="1:12" s="180" customFormat="1" ht="8.65" customHeight="1" x14ac:dyDescent="0.15">
      <c r="A828" s="187" t="s">
        <v>664</v>
      </c>
      <c r="B828" s="187" t="s">
        <v>1770</v>
      </c>
      <c r="C828" s="187" t="s">
        <v>1269</v>
      </c>
      <c r="D828" s="187" t="s">
        <v>1771</v>
      </c>
      <c r="E828" s="187" t="s">
        <v>205</v>
      </c>
      <c r="F828" s="188"/>
      <c r="G828" s="18"/>
      <c r="H828" s="18">
        <v>6400</v>
      </c>
      <c r="I828" s="189"/>
      <c r="J828" s="189">
        <f t="shared" si="73"/>
        <v>0</v>
      </c>
      <c r="K828" s="189">
        <f t="shared" si="70"/>
        <v>0</v>
      </c>
      <c r="L828" s="190" t="s">
        <v>551</v>
      </c>
    </row>
    <row r="829" spans="1:12" s="180" customFormat="1" ht="8.65" customHeight="1" x14ac:dyDescent="0.15">
      <c r="A829" s="187" t="s">
        <v>664</v>
      </c>
      <c r="B829" s="187" t="s">
        <v>1772</v>
      </c>
      <c r="C829" s="187" t="s">
        <v>1530</v>
      </c>
      <c r="D829" s="187" t="s">
        <v>1773</v>
      </c>
      <c r="E829" s="187" t="s">
        <v>205</v>
      </c>
      <c r="F829" s="188"/>
      <c r="G829" s="18"/>
      <c r="H829" s="18">
        <v>1600</v>
      </c>
      <c r="I829" s="189"/>
      <c r="J829" s="189">
        <f t="shared" si="73"/>
        <v>0</v>
      </c>
      <c r="K829" s="189">
        <f t="shared" si="70"/>
        <v>0</v>
      </c>
      <c r="L829" s="190" t="s">
        <v>551</v>
      </c>
    </row>
    <row r="830" spans="1:12" s="180" customFormat="1" ht="8.65" customHeight="1" x14ac:dyDescent="0.15">
      <c r="A830" s="187" t="s">
        <v>664</v>
      </c>
      <c r="B830" s="187" t="s">
        <v>1774</v>
      </c>
      <c r="C830" s="187" t="s">
        <v>1530</v>
      </c>
      <c r="D830" s="187" t="s">
        <v>1775</v>
      </c>
      <c r="E830" s="187" t="s">
        <v>205</v>
      </c>
      <c r="F830" s="188"/>
      <c r="G830" s="18"/>
      <c r="H830" s="18">
        <v>11000</v>
      </c>
      <c r="I830" s="189"/>
      <c r="J830" s="189">
        <f t="shared" si="73"/>
        <v>0</v>
      </c>
      <c r="K830" s="189">
        <f t="shared" si="70"/>
        <v>0</v>
      </c>
      <c r="L830" s="190" t="s">
        <v>551</v>
      </c>
    </row>
    <row r="831" spans="1:12" s="180" customFormat="1" ht="8.65" customHeight="1" x14ac:dyDescent="0.15">
      <c r="A831" s="187" t="s">
        <v>664</v>
      </c>
      <c r="B831" s="187" t="s">
        <v>1776</v>
      </c>
      <c r="C831" s="187" t="s">
        <v>1530</v>
      </c>
      <c r="D831" s="187" t="s">
        <v>1777</v>
      </c>
      <c r="E831" s="187" t="s">
        <v>205</v>
      </c>
      <c r="F831" s="188"/>
      <c r="G831" s="18"/>
      <c r="H831" s="18">
        <v>11000</v>
      </c>
      <c r="I831" s="189"/>
      <c r="J831" s="189">
        <f t="shared" si="73"/>
        <v>0</v>
      </c>
      <c r="K831" s="189">
        <f t="shared" si="70"/>
        <v>0</v>
      </c>
      <c r="L831" s="190" t="s">
        <v>551</v>
      </c>
    </row>
    <row r="832" spans="1:12" s="180" customFormat="1" ht="8.65" customHeight="1" x14ac:dyDescent="0.15">
      <c r="A832" s="187" t="s">
        <v>664</v>
      </c>
      <c r="B832" s="187" t="s">
        <v>1778</v>
      </c>
      <c r="C832" s="187" t="s">
        <v>1530</v>
      </c>
      <c r="D832" s="187" t="s">
        <v>1779</v>
      </c>
      <c r="E832" s="187" t="s">
        <v>205</v>
      </c>
      <c r="F832" s="188"/>
      <c r="G832" s="18"/>
      <c r="H832" s="18">
        <v>11000</v>
      </c>
      <c r="I832" s="189"/>
      <c r="J832" s="189">
        <f t="shared" si="73"/>
        <v>0</v>
      </c>
      <c r="K832" s="189">
        <f t="shared" si="70"/>
        <v>0</v>
      </c>
      <c r="L832" s="190" t="s">
        <v>551</v>
      </c>
    </row>
    <row r="833" spans="1:12" s="180" customFormat="1" ht="8.65" customHeight="1" x14ac:dyDescent="0.15">
      <c r="A833" s="187" t="s">
        <v>664</v>
      </c>
      <c r="B833" s="187" t="s">
        <v>1780</v>
      </c>
      <c r="C833" s="187" t="s">
        <v>1269</v>
      </c>
      <c r="D833" s="187" t="s">
        <v>1781</v>
      </c>
      <c r="E833" s="187" t="s">
        <v>205</v>
      </c>
      <c r="F833" s="188"/>
      <c r="G833" s="18"/>
      <c r="H833" s="18">
        <v>38847</v>
      </c>
      <c r="I833" s="189"/>
      <c r="J833" s="189">
        <f>39375-H833</f>
        <v>528</v>
      </c>
      <c r="K833" s="189">
        <f t="shared" si="70"/>
        <v>528</v>
      </c>
      <c r="L833" s="190" t="s">
        <v>551</v>
      </c>
    </row>
    <row r="834" spans="1:12" s="180" customFormat="1" ht="8.65" customHeight="1" x14ac:dyDescent="0.15">
      <c r="A834" s="187" t="s">
        <v>664</v>
      </c>
      <c r="B834" s="187" t="s">
        <v>1782</v>
      </c>
      <c r="C834" s="187" t="s">
        <v>1269</v>
      </c>
      <c r="D834" s="187" t="s">
        <v>1783</v>
      </c>
      <c r="E834" s="187" t="s">
        <v>205</v>
      </c>
      <c r="F834" s="188"/>
      <c r="G834" s="18"/>
      <c r="H834" s="18">
        <v>15750</v>
      </c>
      <c r="I834" s="189"/>
      <c r="J834" s="189">
        <f>15750-H$834</f>
        <v>0</v>
      </c>
      <c r="K834" s="189">
        <f t="shared" si="70"/>
        <v>0</v>
      </c>
      <c r="L834" s="190" t="s">
        <v>551</v>
      </c>
    </row>
    <row r="835" spans="1:12" s="180" customFormat="1" ht="8.65" customHeight="1" x14ac:dyDescent="0.15">
      <c r="A835" s="187" t="s">
        <v>664</v>
      </c>
      <c r="B835" s="187" t="s">
        <v>1784</v>
      </c>
      <c r="C835" s="187" t="s">
        <v>1269</v>
      </c>
      <c r="D835" s="187" t="s">
        <v>1785</v>
      </c>
      <c r="E835" s="187" t="s">
        <v>205</v>
      </c>
      <c r="F835" s="188"/>
      <c r="G835" s="18"/>
      <c r="H835" s="18">
        <v>22050</v>
      </c>
      <c r="I835" s="189"/>
      <c r="J835" s="189">
        <f>15750-H$834</f>
        <v>0</v>
      </c>
      <c r="K835" s="189">
        <f t="shared" si="70"/>
        <v>0</v>
      </c>
      <c r="L835" s="190" t="s">
        <v>551</v>
      </c>
    </row>
    <row r="836" spans="1:12" s="180" customFormat="1" ht="8.65" customHeight="1" x14ac:dyDescent="0.15">
      <c r="A836" s="187" t="s">
        <v>664</v>
      </c>
      <c r="B836" s="187" t="s">
        <v>1786</v>
      </c>
      <c r="C836" s="187" t="s">
        <v>1467</v>
      </c>
      <c r="D836" s="187" t="s">
        <v>1787</v>
      </c>
      <c r="E836" s="187" t="s">
        <v>205</v>
      </c>
      <c r="F836" s="188"/>
      <c r="G836" s="18"/>
      <c r="H836" s="18">
        <v>5073</v>
      </c>
      <c r="I836" s="189"/>
      <c r="J836" s="189">
        <f>16000-H836</f>
        <v>10927</v>
      </c>
      <c r="K836" s="189">
        <f t="shared" si="70"/>
        <v>10927</v>
      </c>
      <c r="L836" s="190" t="s">
        <v>551</v>
      </c>
    </row>
    <row r="837" spans="1:12" s="180" customFormat="1" ht="8.65" customHeight="1" x14ac:dyDescent="0.15">
      <c r="A837" s="187" t="s">
        <v>664</v>
      </c>
      <c r="B837" s="187" t="s">
        <v>1314</v>
      </c>
      <c r="C837" s="187" t="s">
        <v>864</v>
      </c>
      <c r="D837" s="187" t="s">
        <v>1316</v>
      </c>
      <c r="E837" s="187" t="s">
        <v>205</v>
      </c>
      <c r="F837" s="188"/>
      <c r="G837" s="18">
        <v>193800</v>
      </c>
      <c r="H837" s="18"/>
      <c r="I837" s="189">
        <v>119780</v>
      </c>
      <c r="J837" s="189">
        <f>21200+G837</f>
        <v>215000</v>
      </c>
      <c r="K837" s="189">
        <f>+J837-I837</f>
        <v>95220</v>
      </c>
      <c r="L837" s="190" t="s">
        <v>551</v>
      </c>
    </row>
    <row r="838" spans="1:12" s="180" customFormat="1" ht="8.65" customHeight="1" x14ac:dyDescent="0.15">
      <c r="A838" s="187" t="s">
        <v>664</v>
      </c>
      <c r="B838" s="187" t="s">
        <v>1788</v>
      </c>
      <c r="C838" s="187" t="s">
        <v>1269</v>
      </c>
      <c r="D838" s="187" t="s">
        <v>1789</v>
      </c>
      <c r="E838" s="187" t="s">
        <v>205</v>
      </c>
      <c r="F838" s="188"/>
      <c r="G838" s="18"/>
      <c r="H838" s="18">
        <v>15208</v>
      </c>
      <c r="I838" s="189">
        <v>17101.419999999998</v>
      </c>
      <c r="J838" s="189">
        <f>47250-H838</f>
        <v>32042</v>
      </c>
      <c r="K838" s="189">
        <f>+J838-I838</f>
        <v>14940.580000000002</v>
      </c>
      <c r="L838" s="190" t="s">
        <v>551</v>
      </c>
    </row>
    <row r="839" spans="1:12" s="180" customFormat="1" ht="8.65" customHeight="1" x14ac:dyDescent="0.15">
      <c r="A839" s="187" t="s">
        <v>664</v>
      </c>
      <c r="B839" s="187" t="s">
        <v>1790</v>
      </c>
      <c r="C839" s="187" t="s">
        <v>1269</v>
      </c>
      <c r="D839" s="187" t="s">
        <v>1791</v>
      </c>
      <c r="E839" s="187" t="s">
        <v>205</v>
      </c>
      <c r="F839" s="188"/>
      <c r="G839" s="18"/>
      <c r="H839" s="18">
        <v>159000</v>
      </c>
      <c r="I839" s="189"/>
      <c r="J839" s="189">
        <f>159075-H839</f>
        <v>75</v>
      </c>
      <c r="K839" s="189">
        <f t="shared" si="70"/>
        <v>75</v>
      </c>
      <c r="L839" s="190" t="s">
        <v>551</v>
      </c>
    </row>
    <row r="840" spans="1:12" s="180" customFormat="1" ht="8.65" customHeight="1" x14ac:dyDescent="0.15">
      <c r="A840" s="187" t="s">
        <v>664</v>
      </c>
      <c r="B840" s="187" t="s">
        <v>1792</v>
      </c>
      <c r="C840" s="187" t="s">
        <v>942</v>
      </c>
      <c r="D840" s="187" t="s">
        <v>1793</v>
      </c>
      <c r="E840" s="187" t="s">
        <v>205</v>
      </c>
      <c r="F840" s="188"/>
      <c r="G840" s="18"/>
      <c r="H840" s="18">
        <v>281700</v>
      </c>
      <c r="I840" s="189"/>
      <c r="J840" s="189">
        <f>281700-H$840</f>
        <v>0</v>
      </c>
      <c r="K840" s="189">
        <f t="shared" si="70"/>
        <v>0</v>
      </c>
      <c r="L840" s="190" t="s">
        <v>551</v>
      </c>
    </row>
    <row r="841" spans="1:12" s="180" customFormat="1" ht="8.65" customHeight="1" x14ac:dyDescent="0.15">
      <c r="A841" s="187" t="s">
        <v>664</v>
      </c>
      <c r="B841" s="187" t="s">
        <v>1794</v>
      </c>
      <c r="C841" s="187" t="s">
        <v>1530</v>
      </c>
      <c r="D841" s="187" t="s">
        <v>1795</v>
      </c>
      <c r="E841" s="187" t="s">
        <v>205</v>
      </c>
      <c r="F841" s="188"/>
      <c r="G841" s="18"/>
      <c r="H841" s="18">
        <v>4750</v>
      </c>
      <c r="I841" s="189"/>
      <c r="J841" s="189">
        <f t="shared" ref="J841:J843" si="74">281700-H$840</f>
        <v>0</v>
      </c>
      <c r="K841" s="189">
        <f t="shared" si="70"/>
        <v>0</v>
      </c>
      <c r="L841" s="190" t="s">
        <v>551</v>
      </c>
    </row>
    <row r="842" spans="1:12" s="180" customFormat="1" ht="8.65" customHeight="1" x14ac:dyDescent="0.15">
      <c r="A842" s="187" t="s">
        <v>664</v>
      </c>
      <c r="B842" s="187" t="s">
        <v>1796</v>
      </c>
      <c r="C842" s="187" t="s">
        <v>1530</v>
      </c>
      <c r="D842" s="187" t="s">
        <v>1797</v>
      </c>
      <c r="E842" s="187" t="s">
        <v>205</v>
      </c>
      <c r="F842" s="188"/>
      <c r="G842" s="18"/>
      <c r="H842" s="18">
        <v>3700</v>
      </c>
      <c r="I842" s="189"/>
      <c r="J842" s="189">
        <f t="shared" si="74"/>
        <v>0</v>
      </c>
      <c r="K842" s="189">
        <f t="shared" si="70"/>
        <v>0</v>
      </c>
      <c r="L842" s="190" t="s">
        <v>551</v>
      </c>
    </row>
    <row r="843" spans="1:12" s="180" customFormat="1" ht="8.65" customHeight="1" x14ac:dyDescent="0.15">
      <c r="A843" s="187" t="s">
        <v>664</v>
      </c>
      <c r="B843" s="187" t="s">
        <v>1798</v>
      </c>
      <c r="C843" s="187" t="s">
        <v>1530</v>
      </c>
      <c r="D843" s="187" t="s">
        <v>1799</v>
      </c>
      <c r="E843" s="187" t="s">
        <v>205</v>
      </c>
      <c r="F843" s="188"/>
      <c r="G843" s="18"/>
      <c r="H843" s="18">
        <v>4750</v>
      </c>
      <c r="I843" s="189"/>
      <c r="J843" s="189">
        <f t="shared" si="74"/>
        <v>0</v>
      </c>
      <c r="K843" s="189">
        <f t="shared" si="70"/>
        <v>0</v>
      </c>
      <c r="L843" s="190" t="s">
        <v>551</v>
      </c>
    </row>
    <row r="844" spans="1:12" s="180" customFormat="1" ht="8.65" customHeight="1" x14ac:dyDescent="0.15">
      <c r="A844" s="187" t="s">
        <v>664</v>
      </c>
      <c r="B844" s="187" t="s">
        <v>1800</v>
      </c>
      <c r="C844" s="187" t="s">
        <v>1707</v>
      </c>
      <c r="D844" s="187" t="s">
        <v>1801</v>
      </c>
      <c r="E844" s="187" t="s">
        <v>205</v>
      </c>
      <c r="F844" s="188"/>
      <c r="G844" s="18"/>
      <c r="H844" s="18"/>
      <c r="I844" s="189"/>
      <c r="J844" s="189">
        <v>245400</v>
      </c>
      <c r="K844" s="189">
        <f t="shared" ref="K844:K908" si="75">+J844-I$632</f>
        <v>245400</v>
      </c>
      <c r="L844" s="190" t="s">
        <v>551</v>
      </c>
    </row>
    <row r="845" spans="1:12" s="180" customFormat="1" ht="8.65" customHeight="1" x14ac:dyDescent="0.15">
      <c r="A845" s="187" t="s">
        <v>664</v>
      </c>
      <c r="B845" s="187" t="s">
        <v>1802</v>
      </c>
      <c r="C845" s="187" t="s">
        <v>1467</v>
      </c>
      <c r="D845" s="187" t="s">
        <v>1803</v>
      </c>
      <c r="E845" s="187" t="s">
        <v>205</v>
      </c>
      <c r="F845" s="188"/>
      <c r="G845" s="18">
        <v>80000</v>
      </c>
      <c r="H845" s="18"/>
      <c r="I845" s="189">
        <v>77791.509999999995</v>
      </c>
      <c r="J845" s="189">
        <f>94500+G845</f>
        <v>174500</v>
      </c>
      <c r="K845" s="189">
        <f>+J845-I845</f>
        <v>96708.49</v>
      </c>
      <c r="L845" s="190" t="s">
        <v>551</v>
      </c>
    </row>
    <row r="846" spans="1:12" s="180" customFormat="1" ht="8.65" customHeight="1" x14ac:dyDescent="0.15">
      <c r="A846" s="187" t="s">
        <v>664</v>
      </c>
      <c r="B846" s="187" t="s">
        <v>1804</v>
      </c>
      <c r="C846" s="187" t="s">
        <v>1467</v>
      </c>
      <c r="D846" s="187" t="s">
        <v>1805</v>
      </c>
      <c r="E846" s="187" t="s">
        <v>205</v>
      </c>
      <c r="F846" s="188"/>
      <c r="G846" s="18"/>
      <c r="H846" s="18"/>
      <c r="I846" s="189">
        <v>214496.15</v>
      </c>
      <c r="J846" s="189">
        <v>236250</v>
      </c>
      <c r="K846" s="189">
        <f>+J846-I846</f>
        <v>21753.850000000006</v>
      </c>
      <c r="L846" s="190" t="s">
        <v>551</v>
      </c>
    </row>
    <row r="847" spans="1:12" s="180" customFormat="1" ht="8.65" customHeight="1" x14ac:dyDescent="0.15">
      <c r="A847" s="187" t="s">
        <v>664</v>
      </c>
      <c r="B847" s="187" t="s">
        <v>734</v>
      </c>
      <c r="C847" s="187" t="s">
        <v>683</v>
      </c>
      <c r="D847" s="187" t="s">
        <v>735</v>
      </c>
      <c r="E847" s="187" t="s">
        <v>205</v>
      </c>
      <c r="F847" s="188"/>
      <c r="G847" s="18"/>
      <c r="H847" s="18">
        <v>14400</v>
      </c>
      <c r="I847" s="189"/>
      <c r="J847" s="189">
        <f>14400-H$847</f>
        <v>0</v>
      </c>
      <c r="K847" s="189">
        <f t="shared" si="75"/>
        <v>0</v>
      </c>
      <c r="L847" s="190" t="s">
        <v>551</v>
      </c>
    </row>
    <row r="848" spans="1:12" s="180" customFormat="1" ht="8.65" customHeight="1" x14ac:dyDescent="0.15">
      <c r="A848" s="187" t="s">
        <v>664</v>
      </c>
      <c r="B848" s="187" t="s">
        <v>904</v>
      </c>
      <c r="C848" s="187" t="s">
        <v>683</v>
      </c>
      <c r="D848" s="187" t="s">
        <v>905</v>
      </c>
      <c r="E848" s="187" t="s">
        <v>205</v>
      </c>
      <c r="F848" s="188"/>
      <c r="G848" s="18"/>
      <c r="H848" s="18">
        <v>4800</v>
      </c>
      <c r="I848" s="189"/>
      <c r="J848" s="189">
        <f t="shared" ref="J848:J850" si="76">14400-H$847</f>
        <v>0</v>
      </c>
      <c r="K848" s="189">
        <f t="shared" si="75"/>
        <v>0</v>
      </c>
      <c r="L848" s="190" t="s">
        <v>551</v>
      </c>
    </row>
    <row r="849" spans="1:12" s="180" customFormat="1" ht="8.65" customHeight="1" x14ac:dyDescent="0.15">
      <c r="A849" s="187" t="s">
        <v>664</v>
      </c>
      <c r="B849" s="187" t="s">
        <v>1806</v>
      </c>
      <c r="C849" s="187" t="s">
        <v>1467</v>
      </c>
      <c r="D849" s="187" t="s">
        <v>1807</v>
      </c>
      <c r="E849" s="187" t="s">
        <v>205</v>
      </c>
      <c r="F849" s="188"/>
      <c r="G849" s="18"/>
      <c r="H849" s="18">
        <v>210000</v>
      </c>
      <c r="I849" s="189"/>
      <c r="J849" s="189">
        <f t="shared" si="76"/>
        <v>0</v>
      </c>
      <c r="K849" s="189">
        <f t="shared" si="75"/>
        <v>0</v>
      </c>
      <c r="L849" s="190" t="s">
        <v>551</v>
      </c>
    </row>
    <row r="850" spans="1:12" s="180" customFormat="1" ht="8.65" customHeight="1" x14ac:dyDescent="0.15">
      <c r="A850" s="187" t="s">
        <v>664</v>
      </c>
      <c r="B850" s="187" t="s">
        <v>738</v>
      </c>
      <c r="C850" s="187" t="s">
        <v>683</v>
      </c>
      <c r="D850" s="187" t="s">
        <v>739</v>
      </c>
      <c r="E850" s="187" t="s">
        <v>205</v>
      </c>
      <c r="F850" s="188"/>
      <c r="G850" s="18"/>
      <c r="H850" s="18">
        <v>7200</v>
      </c>
      <c r="I850" s="189"/>
      <c r="J850" s="189">
        <f t="shared" si="76"/>
        <v>0</v>
      </c>
      <c r="K850" s="189">
        <f t="shared" si="75"/>
        <v>0</v>
      </c>
      <c r="L850" s="190" t="s">
        <v>551</v>
      </c>
    </row>
    <row r="851" spans="1:12" s="180" customFormat="1" ht="8.65" customHeight="1" x14ac:dyDescent="0.15">
      <c r="A851" s="187" t="s">
        <v>664</v>
      </c>
      <c r="B851" s="187" t="s">
        <v>1808</v>
      </c>
      <c r="C851" s="187" t="s">
        <v>769</v>
      </c>
      <c r="D851" s="187" t="s">
        <v>1809</v>
      </c>
      <c r="E851" s="187" t="s">
        <v>205</v>
      </c>
      <c r="F851" s="188"/>
      <c r="G851" s="18"/>
      <c r="H851" s="18">
        <v>3550</v>
      </c>
      <c r="I851" s="189"/>
      <c r="J851" s="189">
        <f>15750-H851</f>
        <v>12200</v>
      </c>
      <c r="K851" s="189">
        <f t="shared" si="75"/>
        <v>12200</v>
      </c>
      <c r="L851" s="190" t="s">
        <v>551</v>
      </c>
    </row>
    <row r="852" spans="1:12" s="180" customFormat="1" ht="8.65" customHeight="1" x14ac:dyDescent="0.15">
      <c r="A852" s="187" t="s">
        <v>664</v>
      </c>
      <c r="B852" s="187" t="s">
        <v>1810</v>
      </c>
      <c r="C852" s="187" t="s">
        <v>1530</v>
      </c>
      <c r="D852" s="187" t="s">
        <v>1811</v>
      </c>
      <c r="E852" s="187" t="s">
        <v>205</v>
      </c>
      <c r="F852" s="188"/>
      <c r="G852" s="18"/>
      <c r="H852" s="18"/>
      <c r="I852" s="189"/>
      <c r="J852" s="189">
        <v>190800</v>
      </c>
      <c r="K852" s="189">
        <f t="shared" si="75"/>
        <v>190800</v>
      </c>
      <c r="L852" s="190" t="s">
        <v>551</v>
      </c>
    </row>
    <row r="853" spans="1:12" s="180" customFormat="1" ht="8.65" customHeight="1" x14ac:dyDescent="0.15">
      <c r="A853" s="187" t="s">
        <v>664</v>
      </c>
      <c r="B853" s="187" t="s">
        <v>1812</v>
      </c>
      <c r="C853" s="187" t="s">
        <v>1389</v>
      </c>
      <c r="D853" s="187" t="s">
        <v>1813</v>
      </c>
      <c r="E853" s="187" t="s">
        <v>205</v>
      </c>
      <c r="F853" s="188"/>
      <c r="G853" s="18"/>
      <c r="H853" s="18">
        <v>147000</v>
      </c>
      <c r="I853" s="189"/>
      <c r="J853" s="189">
        <f>147000-H853</f>
        <v>0</v>
      </c>
      <c r="K853" s="189">
        <f t="shared" si="75"/>
        <v>0</v>
      </c>
      <c r="L853" s="190" t="s">
        <v>551</v>
      </c>
    </row>
    <row r="854" spans="1:12" s="180" customFormat="1" ht="8.65" customHeight="1" x14ac:dyDescent="0.15">
      <c r="A854" s="187" t="s">
        <v>664</v>
      </c>
      <c r="B854" s="187" t="s">
        <v>1814</v>
      </c>
      <c r="C854" s="187" t="s">
        <v>676</v>
      </c>
      <c r="D854" s="187" t="s">
        <v>1815</v>
      </c>
      <c r="E854" s="187" t="s">
        <v>205</v>
      </c>
      <c r="F854" s="188"/>
      <c r="G854" s="18"/>
      <c r="H854" s="18"/>
      <c r="I854" s="189"/>
      <c r="J854" s="189">
        <v>101625</v>
      </c>
      <c r="K854" s="189">
        <f t="shared" si="75"/>
        <v>101625</v>
      </c>
      <c r="L854" s="190" t="s">
        <v>551</v>
      </c>
    </row>
    <row r="855" spans="1:12" s="180" customFormat="1" ht="8.65" customHeight="1" x14ac:dyDescent="0.15">
      <c r="A855" s="187" t="s">
        <v>664</v>
      </c>
      <c r="B855" s="187" t="s">
        <v>1816</v>
      </c>
      <c r="C855" s="187" t="s">
        <v>676</v>
      </c>
      <c r="D855" s="187" t="s">
        <v>1817</v>
      </c>
      <c r="E855" s="187" t="s">
        <v>205</v>
      </c>
      <c r="F855" s="188"/>
      <c r="G855" s="18"/>
      <c r="H855" s="18">
        <v>8820</v>
      </c>
      <c r="I855" s="189"/>
      <c r="J855" s="189">
        <f>8820-H855</f>
        <v>0</v>
      </c>
      <c r="K855" s="189">
        <f t="shared" si="75"/>
        <v>0</v>
      </c>
      <c r="L855" s="190" t="s">
        <v>551</v>
      </c>
    </row>
    <row r="856" spans="1:12" s="180" customFormat="1" ht="8.65" customHeight="1" x14ac:dyDescent="0.15">
      <c r="A856" s="187" t="s">
        <v>664</v>
      </c>
      <c r="B856" s="187" t="s">
        <v>1818</v>
      </c>
      <c r="C856" s="187" t="s">
        <v>769</v>
      </c>
      <c r="D856" s="187" t="s">
        <v>1819</v>
      </c>
      <c r="E856" s="187" t="s">
        <v>205</v>
      </c>
      <c r="F856" s="188"/>
      <c r="G856" s="18"/>
      <c r="H856" s="18"/>
      <c r="I856" s="189"/>
      <c r="J856" s="189">
        <v>10070.56</v>
      </c>
      <c r="K856" s="189">
        <f t="shared" si="75"/>
        <v>10070.56</v>
      </c>
      <c r="L856" s="190" t="s">
        <v>551</v>
      </c>
    </row>
    <row r="857" spans="1:12" s="180" customFormat="1" ht="9.6" customHeight="1" x14ac:dyDescent="0.15">
      <c r="A857" s="187" t="s">
        <v>664</v>
      </c>
      <c r="B857" s="187" t="s">
        <v>1820</v>
      </c>
      <c r="C857" s="187" t="s">
        <v>676</v>
      </c>
      <c r="D857" s="187" t="s">
        <v>1821</v>
      </c>
      <c r="E857" s="187" t="s">
        <v>205</v>
      </c>
      <c r="F857" s="188"/>
      <c r="G857" s="18"/>
      <c r="H857" s="18">
        <v>65400</v>
      </c>
      <c r="I857" s="189"/>
      <c r="J857" s="189">
        <f>65400-H857</f>
        <v>0</v>
      </c>
      <c r="K857" s="189">
        <f t="shared" si="75"/>
        <v>0</v>
      </c>
      <c r="L857" s="190" t="s">
        <v>1822</v>
      </c>
    </row>
    <row r="858" spans="1:12" s="211" customFormat="1" ht="8.65" customHeight="1" x14ac:dyDescent="0.15">
      <c r="A858" s="187" t="s">
        <v>664</v>
      </c>
      <c r="B858" s="187" t="s">
        <v>1823</v>
      </c>
      <c r="C858" s="187" t="s">
        <v>769</v>
      </c>
      <c r="D858" s="187" t="s">
        <v>1824</v>
      </c>
      <c r="E858" s="187" t="s">
        <v>205</v>
      </c>
      <c r="F858" s="188"/>
      <c r="G858" s="18"/>
      <c r="H858" s="18"/>
      <c r="I858" s="189">
        <v>74769.7</v>
      </c>
      <c r="J858" s="189">
        <v>86767</v>
      </c>
      <c r="K858" s="189">
        <f>+J858-I858</f>
        <v>11997.300000000003</v>
      </c>
      <c r="L858" s="229">
        <v>6130</v>
      </c>
    </row>
    <row r="859" spans="1:12" s="211" customFormat="1" ht="8.65" customHeight="1" x14ac:dyDescent="0.15">
      <c r="A859" s="187" t="s">
        <v>664</v>
      </c>
      <c r="B859" s="187" t="s">
        <v>1825</v>
      </c>
      <c r="C859" s="187" t="s">
        <v>769</v>
      </c>
      <c r="D859" s="187" t="s">
        <v>1826</v>
      </c>
      <c r="E859" s="187" t="s">
        <v>205</v>
      </c>
      <c r="F859" s="188"/>
      <c r="G859" s="18"/>
      <c r="H859" s="18">
        <v>183750</v>
      </c>
      <c r="I859" s="189"/>
      <c r="J859" s="189">
        <f>183750-H859</f>
        <v>0</v>
      </c>
      <c r="K859" s="189">
        <f t="shared" si="75"/>
        <v>0</v>
      </c>
      <c r="L859" s="229" t="s">
        <v>551</v>
      </c>
    </row>
    <row r="860" spans="1:12" s="211" customFormat="1" ht="9" customHeight="1" x14ac:dyDescent="0.15">
      <c r="A860" s="187" t="s">
        <v>664</v>
      </c>
      <c r="B860" s="187" t="s">
        <v>1827</v>
      </c>
      <c r="C860" s="187" t="s">
        <v>769</v>
      </c>
      <c r="D860" s="187" t="s">
        <v>1828</v>
      </c>
      <c r="E860" s="187" t="s">
        <v>205</v>
      </c>
      <c r="F860" s="188"/>
      <c r="G860" s="18"/>
      <c r="H860" s="18">
        <v>367500</v>
      </c>
      <c r="I860" s="189"/>
      <c r="J860" s="189">
        <f>367500-H860</f>
        <v>0</v>
      </c>
      <c r="K860" s="189">
        <f t="shared" si="75"/>
        <v>0</v>
      </c>
      <c r="L860" s="229" t="s">
        <v>551</v>
      </c>
    </row>
    <row r="861" spans="1:12" s="211" customFormat="1" ht="9" customHeight="1" x14ac:dyDescent="0.15">
      <c r="A861" s="187" t="s">
        <v>664</v>
      </c>
      <c r="B861" s="187" t="s">
        <v>1829</v>
      </c>
      <c r="C861" s="187" t="s">
        <v>769</v>
      </c>
      <c r="D861" s="187" t="s">
        <v>1830</v>
      </c>
      <c r="E861" s="187" t="s">
        <v>210</v>
      </c>
      <c r="F861" s="188"/>
      <c r="G861" s="18">
        <f>207000+12607.59</f>
        <v>219607.59</v>
      </c>
      <c r="H861" s="18">
        <v>12607.59</v>
      </c>
      <c r="I861" s="189">
        <v>283807.59000000003</v>
      </c>
      <c r="J861" s="189">
        <f>84598+G861-H861</f>
        <v>291597.99999999994</v>
      </c>
      <c r="K861" s="189">
        <f>+J861-I861</f>
        <v>7790.4099999999162</v>
      </c>
      <c r="L861" s="229" t="s">
        <v>551</v>
      </c>
    </row>
    <row r="862" spans="1:12" s="211" customFormat="1" ht="12" customHeight="1" x14ac:dyDescent="0.15">
      <c r="A862" s="187" t="s">
        <v>664</v>
      </c>
      <c r="B862" s="187" t="s">
        <v>1831</v>
      </c>
      <c r="C862" s="187" t="s">
        <v>769</v>
      </c>
      <c r="D862" s="187" t="s">
        <v>1832</v>
      </c>
      <c r="E862" s="187" t="s">
        <v>205</v>
      </c>
      <c r="F862" s="188"/>
      <c r="G862" s="18"/>
      <c r="H862" s="18">
        <v>496557.3</v>
      </c>
      <c r="I862" s="189"/>
      <c r="J862" s="189">
        <f>496557.3-H862</f>
        <v>0</v>
      </c>
      <c r="K862" s="189">
        <f t="shared" si="75"/>
        <v>0</v>
      </c>
      <c r="L862" s="229" t="s">
        <v>551</v>
      </c>
    </row>
    <row r="863" spans="1:12" s="211" customFormat="1" ht="12" customHeight="1" x14ac:dyDescent="0.15">
      <c r="A863" s="187" t="s">
        <v>664</v>
      </c>
      <c r="B863" s="187" t="s">
        <v>1833</v>
      </c>
      <c r="C863" s="187" t="s">
        <v>769</v>
      </c>
      <c r="D863" s="187" t="s">
        <v>1834</v>
      </c>
      <c r="E863" s="187" t="s">
        <v>205</v>
      </c>
      <c r="F863" s="188"/>
      <c r="G863" s="18"/>
      <c r="H863" s="18">
        <v>22559</v>
      </c>
      <c r="I863" s="189"/>
      <c r="J863" s="189">
        <f>22559-H863</f>
        <v>0</v>
      </c>
      <c r="K863" s="189">
        <f t="shared" si="75"/>
        <v>0</v>
      </c>
      <c r="L863" s="229" t="s">
        <v>551</v>
      </c>
    </row>
    <row r="864" spans="1:12" s="211" customFormat="1" ht="9" customHeight="1" x14ac:dyDescent="0.15">
      <c r="A864" s="187" t="s">
        <v>664</v>
      </c>
      <c r="B864" s="187" t="s">
        <v>1835</v>
      </c>
      <c r="C864" s="187" t="s">
        <v>769</v>
      </c>
      <c r="D864" s="187" t="s">
        <v>1836</v>
      </c>
      <c r="E864" s="187" t="s">
        <v>205</v>
      </c>
      <c r="F864" s="188"/>
      <c r="G864" s="18"/>
      <c r="H864" s="18">
        <v>255000</v>
      </c>
      <c r="I864" s="189">
        <f>31569.06+706250</f>
        <v>737819.06</v>
      </c>
      <c r="J864" s="189">
        <f>496557.3+H864</f>
        <v>751557.3</v>
      </c>
      <c r="K864" s="189">
        <f>+J864-I864</f>
        <v>13738.239999999991</v>
      </c>
      <c r="L864" s="229" t="s">
        <v>551</v>
      </c>
    </row>
    <row r="865" spans="1:12" s="211" customFormat="1" ht="9" customHeight="1" x14ac:dyDescent="0.15">
      <c r="A865" s="187" t="s">
        <v>664</v>
      </c>
      <c r="B865" s="187" t="s">
        <v>1837</v>
      </c>
      <c r="C865" s="187" t="s">
        <v>769</v>
      </c>
      <c r="D865" s="187" t="s">
        <v>1838</v>
      </c>
      <c r="E865" s="187" t="s">
        <v>205</v>
      </c>
      <c r="F865" s="188"/>
      <c r="G865" s="18"/>
      <c r="H865" s="18">
        <v>264106.56</v>
      </c>
      <c r="I865" s="189">
        <v>11518.44</v>
      </c>
      <c r="J865" s="189">
        <f>275625-H865</f>
        <v>11518.440000000002</v>
      </c>
      <c r="K865" s="189">
        <f>+J865-I865</f>
        <v>0</v>
      </c>
      <c r="L865" s="229" t="s">
        <v>551</v>
      </c>
    </row>
    <row r="866" spans="1:12" s="211" customFormat="1" ht="9" customHeight="1" x14ac:dyDescent="0.15">
      <c r="A866" s="187" t="s">
        <v>664</v>
      </c>
      <c r="B866" s="187" t="s">
        <v>1839</v>
      </c>
      <c r="C866" s="187" t="s">
        <v>769</v>
      </c>
      <c r="D866" s="187" t="s">
        <v>1840</v>
      </c>
      <c r="E866" s="187" t="s">
        <v>205</v>
      </c>
      <c r="F866" s="188"/>
      <c r="G866" s="18">
        <v>280000</v>
      </c>
      <c r="H866" s="18"/>
      <c r="I866" s="189">
        <v>268940</v>
      </c>
      <c r="J866" s="189">
        <v>280000</v>
      </c>
      <c r="K866" s="189">
        <f>+J866-I866</f>
        <v>11060</v>
      </c>
      <c r="L866" s="229"/>
    </row>
    <row r="867" spans="1:12" s="211" customFormat="1" ht="9" customHeight="1" x14ac:dyDescent="0.15">
      <c r="A867" s="187" t="s">
        <v>664</v>
      </c>
      <c r="B867" s="187" t="s">
        <v>1841</v>
      </c>
      <c r="C867" s="187" t="s">
        <v>769</v>
      </c>
      <c r="D867" s="187" t="s">
        <v>1842</v>
      </c>
      <c r="E867" s="187" t="s">
        <v>205</v>
      </c>
      <c r="F867" s="188"/>
      <c r="G867" s="18"/>
      <c r="H867" s="18"/>
      <c r="I867" s="189"/>
      <c r="J867" s="189">
        <v>0</v>
      </c>
      <c r="K867" s="189">
        <f t="shared" si="75"/>
        <v>0</v>
      </c>
      <c r="L867" s="229" t="s">
        <v>551</v>
      </c>
    </row>
    <row r="868" spans="1:12" s="211" customFormat="1" ht="9" customHeight="1" x14ac:dyDescent="0.15">
      <c r="A868" s="187" t="s">
        <v>664</v>
      </c>
      <c r="B868" s="187" t="s">
        <v>1843</v>
      </c>
      <c r="C868" s="187" t="s">
        <v>769</v>
      </c>
      <c r="D868" s="187" t="s">
        <v>1844</v>
      </c>
      <c r="E868" s="187" t="s">
        <v>205</v>
      </c>
      <c r="F868" s="188"/>
      <c r="G868" s="18"/>
      <c r="H868" s="18">
        <v>15000</v>
      </c>
      <c r="I868" s="189"/>
      <c r="J868" s="189">
        <f>15000-H868</f>
        <v>0</v>
      </c>
      <c r="K868" s="189">
        <f t="shared" si="75"/>
        <v>0</v>
      </c>
      <c r="L868" s="229" t="s">
        <v>551</v>
      </c>
    </row>
    <row r="869" spans="1:12" s="180" customFormat="1" ht="9" customHeight="1" x14ac:dyDescent="0.15">
      <c r="A869" s="187" t="s">
        <v>664</v>
      </c>
      <c r="B869" s="187" t="s">
        <v>1845</v>
      </c>
      <c r="C869" s="187" t="s">
        <v>769</v>
      </c>
      <c r="D869" s="187" t="s">
        <v>1846</v>
      </c>
      <c r="E869" s="187" t="s">
        <v>205</v>
      </c>
      <c r="F869" s="188"/>
      <c r="G869" s="18"/>
      <c r="H869" s="18"/>
      <c r="I869" s="189"/>
      <c r="J869" s="189">
        <v>11000</v>
      </c>
      <c r="K869" s="189">
        <f t="shared" si="75"/>
        <v>11000</v>
      </c>
      <c r="L869" s="229" t="s">
        <v>551</v>
      </c>
    </row>
    <row r="870" spans="1:12" s="180" customFormat="1" ht="9" customHeight="1" x14ac:dyDescent="0.15">
      <c r="A870" s="187" t="s">
        <v>664</v>
      </c>
      <c r="B870" s="187" t="s">
        <v>1847</v>
      </c>
      <c r="C870" s="187" t="s">
        <v>769</v>
      </c>
      <c r="D870" s="187" t="s">
        <v>1848</v>
      </c>
      <c r="E870" s="187" t="s">
        <v>205</v>
      </c>
      <c r="F870" s="188"/>
      <c r="G870" s="18"/>
      <c r="H870" s="18"/>
      <c r="I870" s="189"/>
      <c r="J870" s="189">
        <v>0</v>
      </c>
      <c r="K870" s="189">
        <f t="shared" si="75"/>
        <v>0</v>
      </c>
      <c r="L870" s="229" t="s">
        <v>551</v>
      </c>
    </row>
    <row r="871" spans="1:12" s="180" customFormat="1" ht="9" customHeight="1" x14ac:dyDescent="0.15">
      <c r="A871" s="187" t="s">
        <v>664</v>
      </c>
      <c r="B871" s="187" t="s">
        <v>1849</v>
      </c>
      <c r="C871" s="187" t="s">
        <v>769</v>
      </c>
      <c r="D871" s="187" t="s">
        <v>1850</v>
      </c>
      <c r="E871" s="187" t="s">
        <v>205</v>
      </c>
      <c r="F871" s="188"/>
      <c r="G871" s="18"/>
      <c r="H871" s="18">
        <v>270000</v>
      </c>
      <c r="I871" s="189"/>
      <c r="J871" s="189">
        <f>270000-H871</f>
        <v>0</v>
      </c>
      <c r="K871" s="189">
        <f t="shared" si="75"/>
        <v>0</v>
      </c>
      <c r="L871" s="229" t="s">
        <v>551</v>
      </c>
    </row>
    <row r="872" spans="1:12" s="180" customFormat="1" ht="9" customHeight="1" x14ac:dyDescent="0.15">
      <c r="A872" s="187" t="s">
        <v>664</v>
      </c>
      <c r="B872" s="187" t="s">
        <v>1851</v>
      </c>
      <c r="C872" s="187" t="s">
        <v>769</v>
      </c>
      <c r="D872" s="187" t="s">
        <v>1852</v>
      </c>
      <c r="E872" s="187" t="s">
        <v>205</v>
      </c>
      <c r="F872" s="188"/>
      <c r="G872" s="18"/>
      <c r="H872" s="18">
        <v>126000</v>
      </c>
      <c r="I872" s="189"/>
      <c r="J872" s="189">
        <f>126000-H872</f>
        <v>0</v>
      </c>
      <c r="K872" s="189">
        <f t="shared" si="75"/>
        <v>0</v>
      </c>
      <c r="L872" s="229" t="s">
        <v>551</v>
      </c>
    </row>
    <row r="873" spans="1:12" s="180" customFormat="1" ht="9" customHeight="1" x14ac:dyDescent="0.15">
      <c r="A873" s="187" t="s">
        <v>664</v>
      </c>
      <c r="B873" s="187" t="s">
        <v>1853</v>
      </c>
      <c r="C873" s="187" t="s">
        <v>673</v>
      </c>
      <c r="D873" s="187" t="s">
        <v>1854</v>
      </c>
      <c r="E873" s="187" t="s">
        <v>205</v>
      </c>
      <c r="F873" s="188"/>
      <c r="G873" s="18"/>
      <c r="H873" s="18"/>
      <c r="I873" s="189">
        <v>22814.69</v>
      </c>
      <c r="J873" s="189">
        <v>23696</v>
      </c>
      <c r="K873" s="189">
        <f>+J873-I873</f>
        <v>881.31000000000131</v>
      </c>
      <c r="L873" s="229" t="s">
        <v>551</v>
      </c>
    </row>
    <row r="874" spans="1:12" s="180" customFormat="1" ht="9" customHeight="1" x14ac:dyDescent="0.15">
      <c r="A874" s="187" t="s">
        <v>664</v>
      </c>
      <c r="B874" s="187" t="s">
        <v>1855</v>
      </c>
      <c r="C874" s="187" t="s">
        <v>673</v>
      </c>
      <c r="D874" s="187" t="s">
        <v>1856</v>
      </c>
      <c r="E874" s="187" t="s">
        <v>205</v>
      </c>
      <c r="F874" s="188"/>
      <c r="G874" s="18"/>
      <c r="H874" s="18"/>
      <c r="I874" s="189">
        <v>35801.5</v>
      </c>
      <c r="J874" s="189">
        <v>36560</v>
      </c>
      <c r="K874" s="189">
        <f t="shared" ref="K874:K875" si="77">+J874-I874</f>
        <v>758.5</v>
      </c>
      <c r="L874" s="229" t="s">
        <v>551</v>
      </c>
    </row>
    <row r="875" spans="1:12" s="180" customFormat="1" ht="9" customHeight="1" x14ac:dyDescent="0.15">
      <c r="A875" s="187" t="s">
        <v>664</v>
      </c>
      <c r="B875" s="187" t="s">
        <v>1857</v>
      </c>
      <c r="C875" s="187" t="s">
        <v>673</v>
      </c>
      <c r="D875" s="187" t="s">
        <v>1858</v>
      </c>
      <c r="E875" s="187" t="s">
        <v>205</v>
      </c>
      <c r="F875" s="188"/>
      <c r="G875" s="18"/>
      <c r="H875" s="18"/>
      <c r="I875" s="189">
        <v>59669.2</v>
      </c>
      <c r="J875" s="189">
        <v>72450</v>
      </c>
      <c r="K875" s="189">
        <f t="shared" si="77"/>
        <v>12780.800000000003</v>
      </c>
      <c r="L875" s="229" t="s">
        <v>551</v>
      </c>
    </row>
    <row r="876" spans="1:12" s="180" customFormat="1" ht="9" customHeight="1" x14ac:dyDescent="0.15">
      <c r="A876" s="187" t="s">
        <v>664</v>
      </c>
      <c r="B876" s="187" t="s">
        <v>1859</v>
      </c>
      <c r="C876" s="187" t="s">
        <v>673</v>
      </c>
      <c r="D876" s="187" t="s">
        <v>1860</v>
      </c>
      <c r="E876" s="187" t="s">
        <v>205</v>
      </c>
      <c r="F876" s="188"/>
      <c r="G876" s="18"/>
      <c r="H876" s="18"/>
      <c r="I876" s="189">
        <v>29249.599999999999</v>
      </c>
      <c r="J876" s="189">
        <v>30467</v>
      </c>
      <c r="K876" s="189">
        <f>+J876-I876</f>
        <v>1217.4000000000015</v>
      </c>
      <c r="L876" s="229" t="s">
        <v>551</v>
      </c>
    </row>
    <row r="877" spans="1:12" s="180" customFormat="1" ht="9" customHeight="1" x14ac:dyDescent="0.15">
      <c r="A877" s="187" t="s">
        <v>664</v>
      </c>
      <c r="B877" s="187" t="s">
        <v>1861</v>
      </c>
      <c r="C877" s="187" t="s">
        <v>673</v>
      </c>
      <c r="D877" s="187" t="s">
        <v>1862</v>
      </c>
      <c r="E877" s="187" t="s">
        <v>205</v>
      </c>
      <c r="F877" s="188"/>
      <c r="G877" s="18"/>
      <c r="H877" s="18"/>
      <c r="I877" s="189"/>
      <c r="J877" s="189">
        <v>10156</v>
      </c>
      <c r="K877" s="189">
        <f t="shared" si="75"/>
        <v>10156</v>
      </c>
      <c r="L877" s="229" t="s">
        <v>551</v>
      </c>
    </row>
    <row r="878" spans="1:12" s="211" customFormat="1" ht="8.65" customHeight="1" x14ac:dyDescent="0.15">
      <c r="A878" s="187" t="s">
        <v>664</v>
      </c>
      <c r="B878" s="187" t="s">
        <v>1863</v>
      </c>
      <c r="C878" s="187" t="s">
        <v>673</v>
      </c>
      <c r="D878" s="187" t="s">
        <v>1864</v>
      </c>
      <c r="E878" s="187" t="s">
        <v>205</v>
      </c>
      <c r="F878" s="188"/>
      <c r="G878" s="18"/>
      <c r="H878" s="18">
        <v>2797</v>
      </c>
      <c r="I878" s="189"/>
      <c r="J878" s="189">
        <f>7875-H878</f>
        <v>5078</v>
      </c>
      <c r="K878" s="189">
        <f t="shared" si="75"/>
        <v>5078</v>
      </c>
      <c r="L878" s="229" t="s">
        <v>551</v>
      </c>
    </row>
    <row r="879" spans="1:12" s="180" customFormat="1" ht="8.65" customHeight="1" x14ac:dyDescent="0.15">
      <c r="A879" s="187" t="s">
        <v>664</v>
      </c>
      <c r="B879" s="187" t="s">
        <v>1865</v>
      </c>
      <c r="C879" s="187" t="s">
        <v>864</v>
      </c>
      <c r="D879" s="187" t="s">
        <v>1866</v>
      </c>
      <c r="E879" s="187" t="s">
        <v>205</v>
      </c>
      <c r="F879" s="188"/>
      <c r="G879" s="18"/>
      <c r="H879" s="18">
        <v>100000</v>
      </c>
      <c r="I879" s="189"/>
      <c r="J879" s="189">
        <f>116550-H879</f>
        <v>16550</v>
      </c>
      <c r="K879" s="189">
        <f t="shared" si="75"/>
        <v>16550</v>
      </c>
      <c r="L879" s="229" t="s">
        <v>551</v>
      </c>
    </row>
    <row r="880" spans="1:12" s="180" customFormat="1" ht="8.65" customHeight="1" x14ac:dyDescent="0.15">
      <c r="A880" s="187" t="s">
        <v>664</v>
      </c>
      <c r="B880" s="187" t="s">
        <v>1867</v>
      </c>
      <c r="C880" s="187" t="s">
        <v>1467</v>
      </c>
      <c r="D880" s="187" t="s">
        <v>1868</v>
      </c>
      <c r="E880" s="187" t="s">
        <v>205</v>
      </c>
      <c r="F880" s="188"/>
      <c r="G880" s="18"/>
      <c r="H880" s="18">
        <v>16645</v>
      </c>
      <c r="I880" s="189"/>
      <c r="J880" s="189">
        <f>52500-H880</f>
        <v>35855</v>
      </c>
      <c r="K880" s="189">
        <f t="shared" si="75"/>
        <v>35855</v>
      </c>
      <c r="L880" s="229" t="s">
        <v>551</v>
      </c>
    </row>
    <row r="881" spans="1:12" s="180" customFormat="1" ht="8.65" customHeight="1" x14ac:dyDescent="0.15">
      <c r="A881" s="187" t="s">
        <v>664</v>
      </c>
      <c r="B881" s="187" t="s">
        <v>1869</v>
      </c>
      <c r="C881" s="187" t="s">
        <v>1467</v>
      </c>
      <c r="D881" s="187" t="s">
        <v>1870</v>
      </c>
      <c r="E881" s="187" t="s">
        <v>205</v>
      </c>
      <c r="F881" s="188"/>
      <c r="G881" s="18"/>
      <c r="H881" s="18">
        <v>105000</v>
      </c>
      <c r="I881" s="189"/>
      <c r="J881" s="189">
        <f>105000-H$881</f>
        <v>0</v>
      </c>
      <c r="K881" s="189">
        <f t="shared" si="75"/>
        <v>0</v>
      </c>
      <c r="L881" s="229" t="s">
        <v>551</v>
      </c>
    </row>
    <row r="882" spans="1:12" s="180" customFormat="1" ht="8.65" customHeight="1" x14ac:dyDescent="0.15">
      <c r="A882" s="187" t="s">
        <v>664</v>
      </c>
      <c r="B882" s="187" t="s">
        <v>1871</v>
      </c>
      <c r="C882" s="187" t="s">
        <v>1467</v>
      </c>
      <c r="D882" s="187" t="s">
        <v>1872</v>
      </c>
      <c r="E882" s="187" t="s">
        <v>205</v>
      </c>
      <c r="F882" s="188"/>
      <c r="G882" s="18"/>
      <c r="H882" s="18">
        <v>1631500</v>
      </c>
      <c r="I882" s="189"/>
      <c r="J882" s="189">
        <f>105000-H$881</f>
        <v>0</v>
      </c>
      <c r="K882" s="189">
        <f t="shared" si="75"/>
        <v>0</v>
      </c>
      <c r="L882" s="229" t="s">
        <v>551</v>
      </c>
    </row>
    <row r="883" spans="1:12" s="180" customFormat="1" ht="8.65" customHeight="1" x14ac:dyDescent="0.15">
      <c r="A883" s="187" t="s">
        <v>664</v>
      </c>
      <c r="B883" s="187" t="s">
        <v>1873</v>
      </c>
      <c r="C883" s="187" t="s">
        <v>1467</v>
      </c>
      <c r="D883" s="187" t="s">
        <v>1874</v>
      </c>
      <c r="E883" s="187" t="s">
        <v>205</v>
      </c>
      <c r="F883" s="188"/>
      <c r="G883" s="18"/>
      <c r="H883" s="18"/>
      <c r="I883" s="189">
        <v>979334.51</v>
      </c>
      <c r="J883" s="189">
        <v>1050000</v>
      </c>
      <c r="K883" s="189">
        <f>+J883-I883</f>
        <v>70665.489999999991</v>
      </c>
      <c r="L883" s="229" t="s">
        <v>551</v>
      </c>
    </row>
    <row r="884" spans="1:12" s="180" customFormat="1" ht="8.65" customHeight="1" x14ac:dyDescent="0.15">
      <c r="A884" s="187" t="s">
        <v>664</v>
      </c>
      <c r="B884" s="187" t="s">
        <v>1875</v>
      </c>
      <c r="C884" s="187" t="s">
        <v>1467</v>
      </c>
      <c r="D884" s="187" t="s">
        <v>1876</v>
      </c>
      <c r="E884" s="187" t="s">
        <v>205</v>
      </c>
      <c r="F884" s="188"/>
      <c r="G884" s="18"/>
      <c r="H884" s="18">
        <v>150000</v>
      </c>
      <c r="I884" s="189">
        <v>158426.62</v>
      </c>
      <c r="J884" s="189">
        <f>472500-H884</f>
        <v>322500</v>
      </c>
      <c r="K884" s="189">
        <f>+J884-I884</f>
        <v>164073.38</v>
      </c>
      <c r="L884" s="229" t="s">
        <v>551</v>
      </c>
    </row>
    <row r="885" spans="1:12" s="180" customFormat="1" ht="8.65" customHeight="1" x14ac:dyDescent="0.15">
      <c r="A885" s="187" t="s">
        <v>664</v>
      </c>
      <c r="B885" s="187" t="s">
        <v>1877</v>
      </c>
      <c r="C885" s="187" t="s">
        <v>1467</v>
      </c>
      <c r="D885" s="187" t="s">
        <v>1878</v>
      </c>
      <c r="E885" s="187" t="s">
        <v>205</v>
      </c>
      <c r="F885" s="188"/>
      <c r="G885" s="18"/>
      <c r="H885" s="18">
        <v>1000000</v>
      </c>
      <c r="I885" s="189">
        <v>885807</v>
      </c>
      <c r="J885" s="189">
        <f>2604000-H885</f>
        <v>1604000</v>
      </c>
      <c r="K885" s="189">
        <f>+J885-I885</f>
        <v>718193</v>
      </c>
      <c r="L885" s="229" t="s">
        <v>551</v>
      </c>
    </row>
    <row r="886" spans="1:12" s="180" customFormat="1" ht="8.65" customHeight="1" x14ac:dyDescent="0.15">
      <c r="A886" s="187" t="s">
        <v>664</v>
      </c>
      <c r="B886" s="187" t="s">
        <v>1879</v>
      </c>
      <c r="C886" s="187" t="s">
        <v>1467</v>
      </c>
      <c r="D886" s="187" t="s">
        <v>1880</v>
      </c>
      <c r="E886" s="187" t="s">
        <v>205</v>
      </c>
      <c r="F886" s="188"/>
      <c r="G886" s="18"/>
      <c r="H886" s="18">
        <v>1253000</v>
      </c>
      <c r="I886" s="189"/>
      <c r="J886" s="189">
        <f>1253000-H886</f>
        <v>0</v>
      </c>
      <c r="K886" s="189">
        <f t="shared" si="75"/>
        <v>0</v>
      </c>
      <c r="L886" s="229" t="s">
        <v>551</v>
      </c>
    </row>
    <row r="887" spans="1:12" s="180" customFormat="1" ht="8.65" customHeight="1" x14ac:dyDescent="0.15">
      <c r="A887" s="187" t="s">
        <v>664</v>
      </c>
      <c r="B887" s="187" t="s">
        <v>1881</v>
      </c>
      <c r="C887" s="187" t="s">
        <v>1467</v>
      </c>
      <c r="D887" s="187" t="s">
        <v>1882</v>
      </c>
      <c r="E887" s="187" t="s">
        <v>205</v>
      </c>
      <c r="F887" s="188"/>
      <c r="G887" s="18"/>
      <c r="H887" s="18">
        <v>4994</v>
      </c>
      <c r="I887" s="189">
        <v>9340.52</v>
      </c>
      <c r="J887" s="189">
        <f>15750-H887</f>
        <v>10756</v>
      </c>
      <c r="K887" s="189">
        <f>+J887-I887</f>
        <v>1415.4799999999996</v>
      </c>
      <c r="L887" s="229" t="s">
        <v>551</v>
      </c>
    </row>
    <row r="888" spans="1:12" s="180" customFormat="1" ht="8.65" customHeight="1" x14ac:dyDescent="0.15">
      <c r="A888" s="187" t="s">
        <v>664</v>
      </c>
      <c r="B888" s="187" t="s">
        <v>1883</v>
      </c>
      <c r="C888" s="187" t="s">
        <v>1467</v>
      </c>
      <c r="D888" s="187" t="s">
        <v>1884</v>
      </c>
      <c r="E888" s="187" t="s">
        <v>205</v>
      </c>
      <c r="F888" s="188"/>
      <c r="G888" s="18"/>
      <c r="H888" s="18">
        <v>315000</v>
      </c>
      <c r="I888" s="189"/>
      <c r="J888" s="189">
        <f>315000-H888</f>
        <v>0</v>
      </c>
      <c r="K888" s="189">
        <f t="shared" si="75"/>
        <v>0</v>
      </c>
      <c r="L888" s="229" t="s">
        <v>551</v>
      </c>
    </row>
    <row r="889" spans="1:12" s="180" customFormat="1" ht="8.65" customHeight="1" x14ac:dyDescent="0.15">
      <c r="A889" s="187" t="s">
        <v>664</v>
      </c>
      <c r="B889" s="187" t="s">
        <v>1885</v>
      </c>
      <c r="C889" s="187" t="s">
        <v>1467</v>
      </c>
      <c r="D889" s="187" t="s">
        <v>1886</v>
      </c>
      <c r="E889" s="187" t="s">
        <v>205</v>
      </c>
      <c r="F889" s="188"/>
      <c r="G889" s="18"/>
      <c r="H889" s="18">
        <v>54970</v>
      </c>
      <c r="I889" s="189"/>
      <c r="J889" s="189">
        <f>83475-H889</f>
        <v>28505</v>
      </c>
      <c r="K889" s="189">
        <f t="shared" si="75"/>
        <v>28505</v>
      </c>
      <c r="L889" s="229" t="s">
        <v>551</v>
      </c>
    </row>
    <row r="890" spans="1:12" s="180" customFormat="1" ht="8.65" customHeight="1" x14ac:dyDescent="0.15">
      <c r="A890" s="187" t="s">
        <v>664</v>
      </c>
      <c r="B890" s="187" t="s">
        <v>1887</v>
      </c>
      <c r="C890" s="187" t="s">
        <v>1467</v>
      </c>
      <c r="D890" s="187" t="s">
        <v>1888</v>
      </c>
      <c r="E890" s="187" t="s">
        <v>205</v>
      </c>
      <c r="F890" s="188"/>
      <c r="G890" s="18">
        <v>10925</v>
      </c>
      <c r="H890" s="18"/>
      <c r="I890" s="189">
        <v>1968725</v>
      </c>
      <c r="J890" s="189">
        <f>1957800+G890</f>
        <v>1968725</v>
      </c>
      <c r="K890" s="189">
        <f>+J890-I890</f>
        <v>0</v>
      </c>
      <c r="L890" s="229" t="s">
        <v>551</v>
      </c>
    </row>
    <row r="891" spans="1:12" s="180" customFormat="1" ht="8.65" customHeight="1" x14ac:dyDescent="0.15">
      <c r="A891" s="187" t="s">
        <v>664</v>
      </c>
      <c r="B891" s="187" t="s">
        <v>1889</v>
      </c>
      <c r="C891" s="187" t="s">
        <v>1467</v>
      </c>
      <c r="D891" s="187" t="s">
        <v>1890</v>
      </c>
      <c r="E891" s="187" t="s">
        <v>205</v>
      </c>
      <c r="F891" s="188"/>
      <c r="G891" s="18"/>
      <c r="H891" s="18">
        <v>3263000</v>
      </c>
      <c r="I891" s="189"/>
      <c r="J891" s="189">
        <f>3263000-H891</f>
        <v>0</v>
      </c>
      <c r="K891" s="189">
        <f t="shared" si="75"/>
        <v>0</v>
      </c>
      <c r="L891" s="229" t="s">
        <v>551</v>
      </c>
    </row>
    <row r="892" spans="1:12" s="180" customFormat="1" ht="8.65" customHeight="1" x14ac:dyDescent="0.15">
      <c r="A892" s="187" t="s">
        <v>664</v>
      </c>
      <c r="B892" s="187" t="s">
        <v>1891</v>
      </c>
      <c r="C892" s="187" t="s">
        <v>1467</v>
      </c>
      <c r="D892" s="187" t="s">
        <v>1892</v>
      </c>
      <c r="E892" s="187" t="s">
        <v>205</v>
      </c>
      <c r="F892" s="188"/>
      <c r="G892" s="18"/>
      <c r="H892" s="18">
        <v>8656</v>
      </c>
      <c r="I892" s="189"/>
      <c r="J892" s="189">
        <f>27300-H892</f>
        <v>18644</v>
      </c>
      <c r="K892" s="189">
        <f t="shared" si="75"/>
        <v>18644</v>
      </c>
      <c r="L892" s="229" t="s">
        <v>551</v>
      </c>
    </row>
    <row r="893" spans="1:12" s="180" customFormat="1" ht="8.65" customHeight="1" x14ac:dyDescent="0.15">
      <c r="A893" s="187" t="s">
        <v>664</v>
      </c>
      <c r="B893" s="187" t="s">
        <v>1893</v>
      </c>
      <c r="C893" s="187" t="s">
        <v>1467</v>
      </c>
      <c r="D893" s="187" t="s">
        <v>1894</v>
      </c>
      <c r="E893" s="187" t="s">
        <v>205</v>
      </c>
      <c r="F893" s="188"/>
      <c r="G893" s="18"/>
      <c r="H893" s="18">
        <v>78750</v>
      </c>
      <c r="I893" s="189"/>
      <c r="J893" s="189">
        <f>78750-H$893</f>
        <v>0</v>
      </c>
      <c r="K893" s="189">
        <f t="shared" si="75"/>
        <v>0</v>
      </c>
      <c r="L893" s="229" t="s">
        <v>551</v>
      </c>
    </row>
    <row r="894" spans="1:12" s="180" customFormat="1" ht="8.65" customHeight="1" x14ac:dyDescent="0.15">
      <c r="A894" s="187" t="s">
        <v>664</v>
      </c>
      <c r="B894" s="187" t="s">
        <v>1895</v>
      </c>
      <c r="C894" s="187" t="s">
        <v>1467</v>
      </c>
      <c r="D894" s="187" t="s">
        <v>1896</v>
      </c>
      <c r="E894" s="187" t="s">
        <v>205</v>
      </c>
      <c r="F894" s="188"/>
      <c r="G894" s="18"/>
      <c r="H894" s="18">
        <v>1785000</v>
      </c>
      <c r="I894" s="189"/>
      <c r="J894" s="189">
        <f>78750-H$893</f>
        <v>0</v>
      </c>
      <c r="K894" s="189">
        <f t="shared" si="75"/>
        <v>0</v>
      </c>
      <c r="L894" s="229" t="s">
        <v>551</v>
      </c>
    </row>
    <row r="895" spans="1:12" s="180" customFormat="1" ht="8.65" customHeight="1" x14ac:dyDescent="0.15">
      <c r="A895" s="187" t="s">
        <v>664</v>
      </c>
      <c r="B895" s="187" t="s">
        <v>1897</v>
      </c>
      <c r="C895" s="187" t="s">
        <v>1467</v>
      </c>
      <c r="D895" s="187" t="s">
        <v>1898</v>
      </c>
      <c r="E895" s="187" t="s">
        <v>205</v>
      </c>
      <c r="F895" s="188"/>
      <c r="G895" s="18"/>
      <c r="H895" s="18">
        <v>19974</v>
      </c>
      <c r="I895" s="189"/>
      <c r="J895" s="189">
        <f>63000-H895</f>
        <v>43026</v>
      </c>
      <c r="K895" s="189">
        <f t="shared" si="75"/>
        <v>43026</v>
      </c>
      <c r="L895" s="229" t="s">
        <v>551</v>
      </c>
    </row>
    <row r="896" spans="1:12" s="180" customFormat="1" ht="8.65" customHeight="1" x14ac:dyDescent="0.15">
      <c r="A896" s="187" t="s">
        <v>664</v>
      </c>
      <c r="B896" s="187" t="s">
        <v>1899</v>
      </c>
      <c r="C896" s="187" t="s">
        <v>1467</v>
      </c>
      <c r="D896" s="187" t="s">
        <v>1900</v>
      </c>
      <c r="E896" s="187" t="s">
        <v>205</v>
      </c>
      <c r="F896" s="188"/>
      <c r="G896" s="18"/>
      <c r="H896" s="18">
        <v>90000</v>
      </c>
      <c r="I896" s="189"/>
      <c r="J896" s="189">
        <f>90000-H$896</f>
        <v>0</v>
      </c>
      <c r="K896" s="189">
        <f t="shared" si="75"/>
        <v>0</v>
      </c>
      <c r="L896" s="229" t="s">
        <v>551</v>
      </c>
    </row>
    <row r="897" spans="1:12" s="180" customFormat="1" ht="8.65" customHeight="1" x14ac:dyDescent="0.15">
      <c r="A897" s="187" t="s">
        <v>664</v>
      </c>
      <c r="B897" s="187" t="s">
        <v>1901</v>
      </c>
      <c r="C897" s="187" t="s">
        <v>676</v>
      </c>
      <c r="D897" s="187" t="s">
        <v>1902</v>
      </c>
      <c r="E897" s="187" t="s">
        <v>205</v>
      </c>
      <c r="F897" s="188"/>
      <c r="G897" s="18"/>
      <c r="H897" s="18">
        <v>660000</v>
      </c>
      <c r="I897" s="189"/>
      <c r="J897" s="189">
        <f t="shared" ref="J897:J899" si="78">90000-H$896</f>
        <v>0</v>
      </c>
      <c r="K897" s="189">
        <f t="shared" si="75"/>
        <v>0</v>
      </c>
      <c r="L897" s="190" t="s">
        <v>1561</v>
      </c>
    </row>
    <row r="898" spans="1:12" s="211" customFormat="1" ht="8.65" customHeight="1" x14ac:dyDescent="0.15">
      <c r="A898" s="187" t="s">
        <v>664</v>
      </c>
      <c r="B898" s="187" t="s">
        <v>1903</v>
      </c>
      <c r="C898" s="187" t="s">
        <v>1467</v>
      </c>
      <c r="D898" s="187" t="s">
        <v>1904</v>
      </c>
      <c r="E898" s="187" t="s">
        <v>205</v>
      </c>
      <c r="F898" s="188"/>
      <c r="G898" s="18"/>
      <c r="H898" s="18">
        <v>12524</v>
      </c>
      <c r="I898" s="189"/>
      <c r="J898" s="189">
        <f t="shared" si="78"/>
        <v>0</v>
      </c>
      <c r="K898" s="189">
        <f t="shared" si="75"/>
        <v>0</v>
      </c>
      <c r="L898" s="190" t="s">
        <v>1546</v>
      </c>
    </row>
    <row r="899" spans="1:12" s="211" customFormat="1" ht="8.65" customHeight="1" x14ac:dyDescent="0.15">
      <c r="A899" s="187" t="s">
        <v>664</v>
      </c>
      <c r="B899" s="187" t="s">
        <v>1905</v>
      </c>
      <c r="C899" s="187" t="s">
        <v>1467</v>
      </c>
      <c r="D899" s="187" t="s">
        <v>1906</v>
      </c>
      <c r="E899" s="187" t="s">
        <v>205</v>
      </c>
      <c r="F899" s="188"/>
      <c r="G899" s="18"/>
      <c r="H899" s="18">
        <v>28648</v>
      </c>
      <c r="I899" s="189"/>
      <c r="J899" s="189">
        <f t="shared" si="78"/>
        <v>0</v>
      </c>
      <c r="K899" s="189">
        <f t="shared" si="75"/>
        <v>0</v>
      </c>
      <c r="L899" s="190" t="s">
        <v>1546</v>
      </c>
    </row>
    <row r="900" spans="1:12" s="180" customFormat="1" ht="8.65" customHeight="1" x14ac:dyDescent="0.15">
      <c r="A900" s="187" t="s">
        <v>664</v>
      </c>
      <c r="B900" s="187" t="s">
        <v>1907</v>
      </c>
      <c r="C900" s="187" t="s">
        <v>1467</v>
      </c>
      <c r="D900" s="187" t="s">
        <v>1908</v>
      </c>
      <c r="E900" s="187" t="s">
        <v>205</v>
      </c>
      <c r="F900" s="188"/>
      <c r="G900" s="18"/>
      <c r="H900" s="18">
        <v>14315</v>
      </c>
      <c r="I900" s="189"/>
      <c r="J900" s="189">
        <f>45150-H900</f>
        <v>30835</v>
      </c>
      <c r="K900" s="189">
        <f t="shared" si="75"/>
        <v>30835</v>
      </c>
      <c r="L900" s="190" t="s">
        <v>1546</v>
      </c>
    </row>
    <row r="901" spans="1:12" s="231" customFormat="1" ht="8.65" customHeight="1" x14ac:dyDescent="0.15">
      <c r="A901" s="202" t="s">
        <v>664</v>
      </c>
      <c r="B901" s="202" t="s">
        <v>1909</v>
      </c>
      <c r="C901" s="202" t="s">
        <v>1467</v>
      </c>
      <c r="D901" s="202" t="s">
        <v>1910</v>
      </c>
      <c r="E901" s="202" t="s">
        <v>205</v>
      </c>
      <c r="F901" s="203"/>
      <c r="G901" s="204"/>
      <c r="H901" s="204">
        <v>2756250</v>
      </c>
      <c r="I901" s="205"/>
      <c r="J901" s="205">
        <f>2756250-H$901</f>
        <v>0</v>
      </c>
      <c r="K901" s="189">
        <f t="shared" si="75"/>
        <v>0</v>
      </c>
      <c r="L901" s="190" t="s">
        <v>1546</v>
      </c>
    </row>
    <row r="902" spans="1:12" s="211" customFormat="1" ht="8.65" customHeight="1" x14ac:dyDescent="0.15">
      <c r="A902" s="187" t="s">
        <v>664</v>
      </c>
      <c r="B902" s="187" t="s">
        <v>1911</v>
      </c>
      <c r="C902" s="187" t="s">
        <v>1467</v>
      </c>
      <c r="D902" s="187" t="s">
        <v>1912</v>
      </c>
      <c r="E902" s="187" t="s">
        <v>205</v>
      </c>
      <c r="F902" s="188"/>
      <c r="G902" s="18"/>
      <c r="H902" s="18">
        <v>57750</v>
      </c>
      <c r="I902" s="189"/>
      <c r="J902" s="189">
        <f>57750-H902</f>
        <v>0</v>
      </c>
      <c r="K902" s="189">
        <f t="shared" si="75"/>
        <v>0</v>
      </c>
      <c r="L902" s="190" t="s">
        <v>1546</v>
      </c>
    </row>
    <row r="903" spans="1:12" s="211" customFormat="1" ht="8.65" customHeight="1" x14ac:dyDescent="0.15">
      <c r="A903" s="187" t="s">
        <v>664</v>
      </c>
      <c r="B903" s="187" t="s">
        <v>1913</v>
      </c>
      <c r="C903" s="187" t="s">
        <v>1467</v>
      </c>
      <c r="D903" s="187" t="s">
        <v>1914</v>
      </c>
      <c r="E903" s="187" t="s">
        <v>205</v>
      </c>
      <c r="F903" s="188"/>
      <c r="G903" s="18"/>
      <c r="H903" s="18">
        <v>14267</v>
      </c>
      <c r="I903" s="189"/>
      <c r="J903" s="189">
        <f>45000-H903</f>
        <v>30733</v>
      </c>
      <c r="K903" s="189">
        <f t="shared" si="75"/>
        <v>30733</v>
      </c>
      <c r="L903" s="190" t="s">
        <v>1546</v>
      </c>
    </row>
    <row r="904" spans="1:12" s="211" customFormat="1" ht="8.65" customHeight="1" x14ac:dyDescent="0.15">
      <c r="A904" s="187" t="s">
        <v>664</v>
      </c>
      <c r="B904" s="187" t="s">
        <v>1915</v>
      </c>
      <c r="C904" s="187" t="s">
        <v>1467</v>
      </c>
      <c r="D904" s="187" t="s">
        <v>1916</v>
      </c>
      <c r="E904" s="187" t="s">
        <v>205</v>
      </c>
      <c r="F904" s="188"/>
      <c r="G904" s="18"/>
      <c r="H904" s="18">
        <v>40000</v>
      </c>
      <c r="I904" s="189"/>
      <c r="J904" s="189">
        <f>40000-H904</f>
        <v>0</v>
      </c>
      <c r="K904" s="189">
        <f t="shared" si="75"/>
        <v>0</v>
      </c>
      <c r="L904" s="190" t="s">
        <v>1546</v>
      </c>
    </row>
    <row r="905" spans="1:12" s="211" customFormat="1" ht="8.65" customHeight="1" x14ac:dyDescent="0.15">
      <c r="A905" s="187" t="s">
        <v>664</v>
      </c>
      <c r="B905" s="187" t="s">
        <v>1917</v>
      </c>
      <c r="C905" s="187" t="s">
        <v>1467</v>
      </c>
      <c r="D905" s="187" t="s">
        <v>1918</v>
      </c>
      <c r="E905" s="187" t="s">
        <v>205</v>
      </c>
      <c r="F905" s="188"/>
      <c r="G905" s="18"/>
      <c r="H905" s="18">
        <v>22616</v>
      </c>
      <c r="I905" s="189"/>
      <c r="J905" s="189">
        <f>27500-H905</f>
        <v>4884</v>
      </c>
      <c r="K905" s="189">
        <f t="shared" si="75"/>
        <v>4884</v>
      </c>
      <c r="L905" s="190" t="s">
        <v>1546</v>
      </c>
    </row>
    <row r="906" spans="1:12" s="211" customFormat="1" ht="8.65" customHeight="1" x14ac:dyDescent="0.15">
      <c r="A906" s="187" t="s">
        <v>664</v>
      </c>
      <c r="B906" s="187" t="s">
        <v>1919</v>
      </c>
      <c r="C906" s="187" t="s">
        <v>1467</v>
      </c>
      <c r="D906" s="187" t="s">
        <v>1920</v>
      </c>
      <c r="E906" s="187" t="s">
        <v>205</v>
      </c>
      <c r="F906" s="188"/>
      <c r="G906" s="18"/>
      <c r="H906" s="18"/>
      <c r="I906" s="189">
        <v>71311.22</v>
      </c>
      <c r="J906" s="189">
        <v>78750</v>
      </c>
      <c r="K906" s="189">
        <f>+J906-I906</f>
        <v>7438.7799999999988</v>
      </c>
      <c r="L906" s="190" t="s">
        <v>1546</v>
      </c>
    </row>
    <row r="907" spans="1:12" s="211" customFormat="1" ht="8.65" customHeight="1" x14ac:dyDescent="0.15">
      <c r="A907" s="187" t="s">
        <v>664</v>
      </c>
      <c r="B907" s="187" t="s">
        <v>1921</v>
      </c>
      <c r="C907" s="187" t="s">
        <v>1467</v>
      </c>
      <c r="D907" s="187" t="s">
        <v>1922</v>
      </c>
      <c r="E907" s="187" t="s">
        <v>205</v>
      </c>
      <c r="F907" s="188"/>
      <c r="G907" s="18"/>
      <c r="H907" s="18">
        <v>1470000</v>
      </c>
      <c r="I907" s="189"/>
      <c r="J907" s="189">
        <f>1470000-H$907</f>
        <v>0</v>
      </c>
      <c r="K907" s="189">
        <f t="shared" si="75"/>
        <v>0</v>
      </c>
      <c r="L907" s="190" t="s">
        <v>1546</v>
      </c>
    </row>
    <row r="908" spans="1:12" s="180" customFormat="1" ht="8.65" customHeight="1" x14ac:dyDescent="0.15">
      <c r="A908" s="187" t="s">
        <v>664</v>
      </c>
      <c r="B908" s="187" t="s">
        <v>1923</v>
      </c>
      <c r="C908" s="187" t="s">
        <v>1467</v>
      </c>
      <c r="D908" s="187" t="s">
        <v>1924</v>
      </c>
      <c r="E908" s="187" t="s">
        <v>205</v>
      </c>
      <c r="F908" s="188"/>
      <c r="G908" s="18"/>
      <c r="H908" s="18">
        <v>6720840</v>
      </c>
      <c r="I908" s="189"/>
      <c r="J908" s="189">
        <f>1470000-H$907</f>
        <v>0</v>
      </c>
      <c r="K908" s="189">
        <f t="shared" si="75"/>
        <v>0</v>
      </c>
      <c r="L908" s="190" t="s">
        <v>1546</v>
      </c>
    </row>
    <row r="909" spans="1:12" s="180" customFormat="1" ht="8.65" customHeight="1" x14ac:dyDescent="0.15">
      <c r="A909" s="187" t="s">
        <v>664</v>
      </c>
      <c r="B909" s="187" t="s">
        <v>1925</v>
      </c>
      <c r="C909" s="187" t="s">
        <v>1467</v>
      </c>
      <c r="D909" s="187" t="s">
        <v>1926</v>
      </c>
      <c r="E909" s="187" t="s">
        <v>205</v>
      </c>
      <c r="F909" s="188"/>
      <c r="G909" s="18"/>
      <c r="H909" s="18">
        <v>16179</v>
      </c>
      <c r="I909" s="189"/>
      <c r="J909" s="189">
        <f>51030-H909</f>
        <v>34851</v>
      </c>
      <c r="K909" s="189">
        <f t="shared" ref="K909:K972" si="79">+J909-I$632</f>
        <v>34851</v>
      </c>
      <c r="L909" s="190" t="s">
        <v>1546</v>
      </c>
    </row>
    <row r="910" spans="1:12" s="180" customFormat="1" ht="8.65" customHeight="1" x14ac:dyDescent="0.15">
      <c r="A910" s="187" t="s">
        <v>664</v>
      </c>
      <c r="B910" s="187" t="s">
        <v>1927</v>
      </c>
      <c r="C910" s="187" t="s">
        <v>1467</v>
      </c>
      <c r="D910" s="187" t="s">
        <v>1928</v>
      </c>
      <c r="E910" s="187" t="s">
        <v>205</v>
      </c>
      <c r="F910" s="188"/>
      <c r="G910" s="18"/>
      <c r="H910" s="18"/>
      <c r="I910" s="189">
        <v>65463.19</v>
      </c>
      <c r="J910" s="189">
        <v>73500</v>
      </c>
      <c r="K910" s="189">
        <f>+J910-I910</f>
        <v>8036.8099999999977</v>
      </c>
      <c r="L910" s="190" t="s">
        <v>1546</v>
      </c>
    </row>
    <row r="911" spans="1:12" s="180" customFormat="1" ht="8.65" customHeight="1" x14ac:dyDescent="0.15">
      <c r="A911" s="187" t="s">
        <v>664</v>
      </c>
      <c r="B911" s="187" t="s">
        <v>1929</v>
      </c>
      <c r="C911" s="187" t="s">
        <v>1467</v>
      </c>
      <c r="D911" s="187" t="s">
        <v>1930</v>
      </c>
      <c r="E911" s="187" t="s">
        <v>205</v>
      </c>
      <c r="F911" s="188"/>
      <c r="G911" s="18"/>
      <c r="H911" s="18"/>
      <c r="I911" s="189">
        <v>68499.41</v>
      </c>
      <c r="J911" s="189">
        <v>80325</v>
      </c>
      <c r="K911" s="189">
        <f>+J911-I911</f>
        <v>11825.589999999997</v>
      </c>
      <c r="L911" s="190" t="s">
        <v>1546</v>
      </c>
    </row>
    <row r="912" spans="1:12" s="211" customFormat="1" ht="8.65" customHeight="1" x14ac:dyDescent="0.15">
      <c r="A912" s="187" t="s">
        <v>664</v>
      </c>
      <c r="B912" s="187" t="s">
        <v>1931</v>
      </c>
      <c r="C912" s="187" t="s">
        <v>1467</v>
      </c>
      <c r="D912" s="187" t="s">
        <v>1932</v>
      </c>
      <c r="E912" s="187" t="s">
        <v>205</v>
      </c>
      <c r="F912" s="188"/>
      <c r="G912" s="18">
        <v>152256</v>
      </c>
      <c r="H912" s="18"/>
      <c r="I912" s="189">
        <v>153780.85</v>
      </c>
      <c r="J912" s="189">
        <f>24425+G912</f>
        <v>176681</v>
      </c>
      <c r="K912" s="189">
        <f>+J912-I912</f>
        <v>22900.149999999994</v>
      </c>
      <c r="L912" s="190" t="s">
        <v>1546</v>
      </c>
    </row>
    <row r="913" spans="1:12" s="180" customFormat="1" ht="8.65" customHeight="1" x14ac:dyDescent="0.15">
      <c r="A913" s="187" t="s">
        <v>664</v>
      </c>
      <c r="B913" s="187" t="s">
        <v>1933</v>
      </c>
      <c r="C913" s="187" t="s">
        <v>1467</v>
      </c>
      <c r="D913" s="187" t="s">
        <v>1934</v>
      </c>
      <c r="E913" s="187" t="s">
        <v>205</v>
      </c>
      <c r="F913" s="188"/>
      <c r="G913" s="18"/>
      <c r="H913" s="18">
        <v>12484</v>
      </c>
      <c r="I913" s="189">
        <v>20176.2</v>
      </c>
      <c r="J913" s="189">
        <f>39375-H913</f>
        <v>26891</v>
      </c>
      <c r="K913" s="189">
        <f>+J913-I913</f>
        <v>6714.7999999999993</v>
      </c>
      <c r="L913" s="190" t="s">
        <v>1546</v>
      </c>
    </row>
    <row r="914" spans="1:12" s="180" customFormat="1" ht="8.65" customHeight="1" x14ac:dyDescent="0.15">
      <c r="A914" s="187" t="s">
        <v>664</v>
      </c>
      <c r="B914" s="187" t="s">
        <v>1935</v>
      </c>
      <c r="C914" s="187" t="s">
        <v>1467</v>
      </c>
      <c r="D914" s="187" t="s">
        <v>1936</v>
      </c>
      <c r="E914" s="187" t="s">
        <v>205</v>
      </c>
      <c r="F914" s="188"/>
      <c r="G914" s="18"/>
      <c r="H914" s="18">
        <v>44625</v>
      </c>
      <c r="I914" s="189"/>
      <c r="J914" s="189">
        <f>44625-H$914</f>
        <v>0</v>
      </c>
      <c r="K914" s="189">
        <f t="shared" si="79"/>
        <v>0</v>
      </c>
      <c r="L914" s="190" t="s">
        <v>1546</v>
      </c>
    </row>
    <row r="915" spans="1:12" s="180" customFormat="1" ht="8.65" customHeight="1" x14ac:dyDescent="0.15">
      <c r="A915" s="187" t="s">
        <v>664</v>
      </c>
      <c r="B915" s="187" t="s">
        <v>1937</v>
      </c>
      <c r="C915" s="187" t="s">
        <v>1467</v>
      </c>
      <c r="D915" s="187" t="s">
        <v>1938</v>
      </c>
      <c r="E915" s="187" t="s">
        <v>205</v>
      </c>
      <c r="F915" s="188"/>
      <c r="G915" s="18"/>
      <c r="H915" s="18">
        <v>378000</v>
      </c>
      <c r="I915" s="189"/>
      <c r="J915" s="189">
        <f t="shared" ref="J915:J917" si="80">44625-H$914</f>
        <v>0</v>
      </c>
      <c r="K915" s="189">
        <f t="shared" si="79"/>
        <v>0</v>
      </c>
      <c r="L915" s="190" t="s">
        <v>1560</v>
      </c>
    </row>
    <row r="916" spans="1:12" s="180" customFormat="1" ht="8.65" customHeight="1" x14ac:dyDescent="0.15">
      <c r="A916" s="187" t="s">
        <v>664</v>
      </c>
      <c r="B916" s="187" t="s">
        <v>1939</v>
      </c>
      <c r="C916" s="187" t="s">
        <v>1467</v>
      </c>
      <c r="D916" s="187" t="s">
        <v>1940</v>
      </c>
      <c r="E916" s="187" t="s">
        <v>205</v>
      </c>
      <c r="F916" s="188"/>
      <c r="G916" s="18"/>
      <c r="H916" s="18">
        <v>210000</v>
      </c>
      <c r="I916" s="189"/>
      <c r="J916" s="189">
        <f t="shared" si="80"/>
        <v>0</v>
      </c>
      <c r="K916" s="189">
        <f t="shared" si="79"/>
        <v>0</v>
      </c>
      <c r="L916" s="190" t="s">
        <v>551</v>
      </c>
    </row>
    <row r="917" spans="1:12" s="180" customFormat="1" ht="8.65" customHeight="1" x14ac:dyDescent="0.15">
      <c r="A917" s="187" t="s">
        <v>664</v>
      </c>
      <c r="B917" s="187" t="s">
        <v>1941</v>
      </c>
      <c r="C917" s="187" t="s">
        <v>1467</v>
      </c>
      <c r="D917" s="187" t="s">
        <v>1942</v>
      </c>
      <c r="E917" s="187" t="s">
        <v>205</v>
      </c>
      <c r="F917" s="188"/>
      <c r="G917" s="18"/>
      <c r="H917" s="18">
        <v>283500</v>
      </c>
      <c r="I917" s="189"/>
      <c r="J917" s="189">
        <f t="shared" si="80"/>
        <v>0</v>
      </c>
      <c r="K917" s="189">
        <f t="shared" si="79"/>
        <v>0</v>
      </c>
      <c r="L917" s="190" t="s">
        <v>551</v>
      </c>
    </row>
    <row r="918" spans="1:12" s="180" customFormat="1" ht="8.65" customHeight="1" x14ac:dyDescent="0.15">
      <c r="A918" s="187" t="s">
        <v>664</v>
      </c>
      <c r="B918" s="187" t="s">
        <v>1943</v>
      </c>
      <c r="C918" s="187" t="s">
        <v>1467</v>
      </c>
      <c r="D918" s="187" t="s">
        <v>1944</v>
      </c>
      <c r="E918" s="187" t="s">
        <v>205</v>
      </c>
      <c r="F918" s="188"/>
      <c r="G918" s="18"/>
      <c r="H918" s="18">
        <v>7673</v>
      </c>
      <c r="I918" s="189"/>
      <c r="J918" s="189">
        <f>24200-H918</f>
        <v>16527</v>
      </c>
      <c r="K918" s="189">
        <f t="shared" si="79"/>
        <v>16527</v>
      </c>
      <c r="L918" s="190" t="s">
        <v>551</v>
      </c>
    </row>
    <row r="919" spans="1:12" s="180" customFormat="1" ht="8.65" customHeight="1" x14ac:dyDescent="0.15">
      <c r="A919" s="187" t="s">
        <v>664</v>
      </c>
      <c r="B919" s="187" t="s">
        <v>1945</v>
      </c>
      <c r="C919" s="187" t="s">
        <v>1467</v>
      </c>
      <c r="D919" s="187" t="s">
        <v>1946</v>
      </c>
      <c r="E919" s="187" t="s">
        <v>205</v>
      </c>
      <c r="F919" s="188"/>
      <c r="G919" s="18"/>
      <c r="H919" s="18">
        <v>47500</v>
      </c>
      <c r="I919" s="189"/>
      <c r="J919" s="189">
        <f>47500-H919</f>
        <v>0</v>
      </c>
      <c r="K919" s="189">
        <f t="shared" si="79"/>
        <v>0</v>
      </c>
      <c r="L919" s="190" t="s">
        <v>551</v>
      </c>
    </row>
    <row r="920" spans="1:12" s="180" customFormat="1" ht="8.65" customHeight="1" x14ac:dyDescent="0.15">
      <c r="A920" s="187" t="s">
        <v>664</v>
      </c>
      <c r="B920" s="187" t="s">
        <v>1947</v>
      </c>
      <c r="C920" s="187" t="s">
        <v>1467</v>
      </c>
      <c r="D920" s="187" t="s">
        <v>1948</v>
      </c>
      <c r="E920" s="187" t="s">
        <v>205</v>
      </c>
      <c r="F920" s="188"/>
      <c r="G920" s="18"/>
      <c r="H920" s="18">
        <v>3963</v>
      </c>
      <c r="I920" s="189"/>
      <c r="J920" s="189">
        <f>12500-H$920</f>
        <v>8537</v>
      </c>
      <c r="K920" s="189">
        <f t="shared" si="79"/>
        <v>8537</v>
      </c>
      <c r="L920" s="190" t="s">
        <v>551</v>
      </c>
    </row>
    <row r="921" spans="1:12" s="180" customFormat="1" ht="8.65" customHeight="1" x14ac:dyDescent="0.15">
      <c r="A921" s="187" t="s">
        <v>664</v>
      </c>
      <c r="B921" s="187" t="s">
        <v>1949</v>
      </c>
      <c r="C921" s="187" t="s">
        <v>1467</v>
      </c>
      <c r="D921" s="187" t="s">
        <v>1950</v>
      </c>
      <c r="E921" s="187" t="s">
        <v>205</v>
      </c>
      <c r="F921" s="188"/>
      <c r="G921" s="18"/>
      <c r="H921" s="18">
        <v>1427</v>
      </c>
      <c r="I921" s="189"/>
      <c r="J921" s="189">
        <f>4500-H921</f>
        <v>3073</v>
      </c>
      <c r="K921" s="189">
        <f t="shared" si="79"/>
        <v>3073</v>
      </c>
      <c r="L921" s="190" t="s">
        <v>551</v>
      </c>
    </row>
    <row r="922" spans="1:12" s="180" customFormat="1" ht="8.65" customHeight="1" x14ac:dyDescent="0.15">
      <c r="A922" s="187" t="s">
        <v>664</v>
      </c>
      <c r="B922" s="187" t="s">
        <v>1951</v>
      </c>
      <c r="C922" s="187" t="s">
        <v>1467</v>
      </c>
      <c r="D922" s="187" t="s">
        <v>1952</v>
      </c>
      <c r="E922" s="187" t="s">
        <v>205</v>
      </c>
      <c r="F922" s="188"/>
      <c r="G922" s="18"/>
      <c r="H922" s="18">
        <v>571</v>
      </c>
      <c r="I922" s="189"/>
      <c r="J922" s="189">
        <f>1800-H922</f>
        <v>1229</v>
      </c>
      <c r="K922" s="189">
        <f t="shared" si="79"/>
        <v>1229</v>
      </c>
      <c r="L922" s="190" t="s">
        <v>551</v>
      </c>
    </row>
    <row r="923" spans="1:12" s="180" customFormat="1" ht="8.65" customHeight="1" x14ac:dyDescent="0.15">
      <c r="A923" s="187" t="s">
        <v>664</v>
      </c>
      <c r="B923" s="187" t="s">
        <v>1953</v>
      </c>
      <c r="C923" s="187" t="s">
        <v>1467</v>
      </c>
      <c r="D923" s="187" t="s">
        <v>1954</v>
      </c>
      <c r="E923" s="187" t="s">
        <v>205</v>
      </c>
      <c r="F923" s="188"/>
      <c r="G923" s="18"/>
      <c r="H923" s="18">
        <v>37000</v>
      </c>
      <c r="I923" s="189"/>
      <c r="J923" s="189">
        <f>37000-H923</f>
        <v>0</v>
      </c>
      <c r="K923" s="189">
        <f t="shared" si="79"/>
        <v>0</v>
      </c>
      <c r="L923" s="190" t="s">
        <v>551</v>
      </c>
    </row>
    <row r="924" spans="1:12" s="180" customFormat="1" ht="8.65" customHeight="1" x14ac:dyDescent="0.15">
      <c r="A924" s="187" t="s">
        <v>664</v>
      </c>
      <c r="B924" s="187" t="s">
        <v>1955</v>
      </c>
      <c r="C924" s="187" t="s">
        <v>1467</v>
      </c>
      <c r="D924" s="187" t="s">
        <v>1956</v>
      </c>
      <c r="E924" s="187" t="s">
        <v>205</v>
      </c>
      <c r="F924" s="188"/>
      <c r="G924" s="18"/>
      <c r="H924" s="18">
        <v>89250</v>
      </c>
      <c r="I924" s="189"/>
      <c r="J924" s="189">
        <f>89250-H924</f>
        <v>0</v>
      </c>
      <c r="K924" s="189">
        <f t="shared" si="79"/>
        <v>0</v>
      </c>
      <c r="L924" s="190" t="s">
        <v>551</v>
      </c>
    </row>
    <row r="925" spans="1:12" s="180" customFormat="1" ht="8.65" customHeight="1" x14ac:dyDescent="0.15">
      <c r="A925" s="187" t="s">
        <v>664</v>
      </c>
      <c r="B925" s="187" t="s">
        <v>1957</v>
      </c>
      <c r="C925" s="187" t="s">
        <v>1530</v>
      </c>
      <c r="D925" s="187" t="s">
        <v>1958</v>
      </c>
      <c r="E925" s="187" t="s">
        <v>205</v>
      </c>
      <c r="F925" s="188"/>
      <c r="G925" s="18"/>
      <c r="H925" s="18"/>
      <c r="I925" s="189"/>
      <c r="J925" s="189">
        <v>16800</v>
      </c>
      <c r="K925" s="189">
        <f t="shared" si="79"/>
        <v>16800</v>
      </c>
      <c r="L925" s="190" t="s">
        <v>551</v>
      </c>
    </row>
    <row r="926" spans="1:12" s="211" customFormat="1" ht="8.65" customHeight="1" x14ac:dyDescent="0.15">
      <c r="A926" s="187" t="s">
        <v>1959</v>
      </c>
      <c r="B926" s="187" t="s">
        <v>1960</v>
      </c>
      <c r="C926" s="187" t="s">
        <v>1961</v>
      </c>
      <c r="D926" s="232" t="s">
        <v>1962</v>
      </c>
      <c r="E926" s="187" t="s">
        <v>210</v>
      </c>
      <c r="F926" s="188"/>
      <c r="G926" s="18">
        <v>600000</v>
      </c>
      <c r="H926" s="18"/>
      <c r="I926" s="189">
        <v>500158.34</v>
      </c>
      <c r="J926" s="189">
        <v>600000</v>
      </c>
      <c r="K926" s="189">
        <f>+J926-I926</f>
        <v>99841.659999999974</v>
      </c>
      <c r="L926" s="190" t="s">
        <v>1963</v>
      </c>
    </row>
    <row r="927" spans="1:12" s="180" customFormat="1" ht="8.65" customHeight="1" x14ac:dyDescent="0.15">
      <c r="A927" s="187" t="s">
        <v>664</v>
      </c>
      <c r="B927" s="187" t="s">
        <v>1964</v>
      </c>
      <c r="C927" s="187" t="s">
        <v>1530</v>
      </c>
      <c r="D927" s="187" t="s">
        <v>1965</v>
      </c>
      <c r="E927" s="187" t="s">
        <v>205</v>
      </c>
      <c r="F927" s="188"/>
      <c r="G927" s="18"/>
      <c r="H927" s="18"/>
      <c r="I927" s="189"/>
      <c r="J927" s="189">
        <v>46200</v>
      </c>
      <c r="K927" s="189">
        <f t="shared" si="79"/>
        <v>46200</v>
      </c>
      <c r="L927" s="190" t="s">
        <v>551</v>
      </c>
    </row>
    <row r="928" spans="1:12" s="180" customFormat="1" ht="8.65" customHeight="1" x14ac:dyDescent="0.15">
      <c r="A928" s="187" t="s">
        <v>664</v>
      </c>
      <c r="B928" s="187" t="s">
        <v>1966</v>
      </c>
      <c r="C928" s="187" t="s">
        <v>864</v>
      </c>
      <c r="D928" s="187" t="s">
        <v>1967</v>
      </c>
      <c r="E928" s="187" t="s">
        <v>205</v>
      </c>
      <c r="F928" s="188"/>
      <c r="G928" s="18"/>
      <c r="H928" s="18">
        <v>191000</v>
      </c>
      <c r="I928" s="189"/>
      <c r="J928" s="189">
        <f>191000-H928</f>
        <v>0</v>
      </c>
      <c r="K928" s="189">
        <f t="shared" si="79"/>
        <v>0</v>
      </c>
      <c r="L928" s="190" t="s">
        <v>551</v>
      </c>
    </row>
    <row r="929" spans="1:12" s="180" customFormat="1" ht="8.65" customHeight="1" x14ac:dyDescent="0.15">
      <c r="A929" s="187" t="s">
        <v>664</v>
      </c>
      <c r="B929" s="187" t="s">
        <v>1968</v>
      </c>
      <c r="C929" s="187" t="s">
        <v>864</v>
      </c>
      <c r="D929" s="187" t="s">
        <v>1969</v>
      </c>
      <c r="E929" s="187" t="s">
        <v>205</v>
      </c>
      <c r="F929" s="188"/>
      <c r="G929" s="18"/>
      <c r="H929" s="18">
        <v>18007</v>
      </c>
      <c r="I929" s="189"/>
      <c r="J929" s="189">
        <f>71400-H929</f>
        <v>53393</v>
      </c>
      <c r="K929" s="189">
        <f t="shared" si="79"/>
        <v>53393</v>
      </c>
      <c r="L929" s="190" t="s">
        <v>551</v>
      </c>
    </row>
    <row r="930" spans="1:12" s="180" customFormat="1" ht="8.65" customHeight="1" x14ac:dyDescent="0.15">
      <c r="A930" s="187" t="s">
        <v>664</v>
      </c>
      <c r="B930" s="187" t="s">
        <v>1970</v>
      </c>
      <c r="C930" s="187" t="s">
        <v>864</v>
      </c>
      <c r="D930" s="187" t="s">
        <v>1971</v>
      </c>
      <c r="E930" s="187" t="s">
        <v>205</v>
      </c>
      <c r="F930" s="188"/>
      <c r="G930" s="18"/>
      <c r="H930" s="18">
        <v>13240</v>
      </c>
      <c r="I930" s="189">
        <v>26469.119999999999</v>
      </c>
      <c r="J930" s="189">
        <f>52500-H930</f>
        <v>39260</v>
      </c>
      <c r="K930" s="189">
        <f>+J930-I930</f>
        <v>12790.880000000001</v>
      </c>
      <c r="L930" s="190" t="s">
        <v>551</v>
      </c>
    </row>
    <row r="931" spans="1:12" s="180" customFormat="1" ht="8.65" customHeight="1" x14ac:dyDescent="0.15">
      <c r="A931" s="187" t="s">
        <v>664</v>
      </c>
      <c r="B931" s="187" t="s">
        <v>1972</v>
      </c>
      <c r="C931" s="187" t="s">
        <v>942</v>
      </c>
      <c r="D931" s="187" t="s">
        <v>1973</v>
      </c>
      <c r="E931" s="187" t="s">
        <v>205</v>
      </c>
      <c r="F931" s="188"/>
      <c r="G931" s="18"/>
      <c r="H931" s="18">
        <v>501</v>
      </c>
      <c r="I931" s="189"/>
      <c r="J931" s="189">
        <f>8370-H931</f>
        <v>7869</v>
      </c>
      <c r="K931" s="189">
        <f t="shared" si="79"/>
        <v>7869</v>
      </c>
      <c r="L931" s="190" t="s">
        <v>551</v>
      </c>
    </row>
    <row r="932" spans="1:12" s="180" customFormat="1" ht="8.65" customHeight="1" x14ac:dyDescent="0.15">
      <c r="A932" s="187" t="s">
        <v>664</v>
      </c>
      <c r="B932" s="187" t="s">
        <v>1974</v>
      </c>
      <c r="C932" s="187" t="s">
        <v>942</v>
      </c>
      <c r="D932" s="187" t="s">
        <v>1975</v>
      </c>
      <c r="E932" s="187" t="s">
        <v>205</v>
      </c>
      <c r="F932" s="188"/>
      <c r="G932" s="18"/>
      <c r="H932" s="18">
        <v>1214</v>
      </c>
      <c r="I932" s="189"/>
      <c r="J932" s="189">
        <f>20270-H932</f>
        <v>19056</v>
      </c>
      <c r="K932" s="189">
        <f t="shared" si="79"/>
        <v>19056</v>
      </c>
      <c r="L932" s="190" t="s">
        <v>551</v>
      </c>
    </row>
    <row r="933" spans="1:12" s="180" customFormat="1" ht="8.65" customHeight="1" x14ac:dyDescent="0.15">
      <c r="A933" s="187" t="s">
        <v>664</v>
      </c>
      <c r="B933" s="187" t="s">
        <v>1976</v>
      </c>
      <c r="C933" s="187" t="s">
        <v>942</v>
      </c>
      <c r="D933" s="187" t="s">
        <v>1977</v>
      </c>
      <c r="E933" s="187" t="s">
        <v>205</v>
      </c>
      <c r="F933" s="188"/>
      <c r="G933" s="18"/>
      <c r="H933" s="18">
        <v>4150</v>
      </c>
      <c r="I933" s="189"/>
      <c r="J933" s="189">
        <f>69300-H933</f>
        <v>65150</v>
      </c>
      <c r="K933" s="189">
        <f t="shared" si="79"/>
        <v>65150</v>
      </c>
      <c r="L933" s="190" t="s">
        <v>551</v>
      </c>
    </row>
    <row r="934" spans="1:12" s="180" customFormat="1" ht="8.65" customHeight="1" x14ac:dyDescent="0.15">
      <c r="A934" s="187" t="s">
        <v>664</v>
      </c>
      <c r="B934" s="187" t="s">
        <v>1978</v>
      </c>
      <c r="C934" s="187" t="s">
        <v>942</v>
      </c>
      <c r="D934" s="187" t="s">
        <v>1979</v>
      </c>
      <c r="E934" s="187" t="s">
        <v>205</v>
      </c>
      <c r="F934" s="188"/>
      <c r="G934" s="18"/>
      <c r="H934" s="18">
        <v>314</v>
      </c>
      <c r="I934" s="189"/>
      <c r="J934" s="189">
        <f>5250-H934</f>
        <v>4936</v>
      </c>
      <c r="K934" s="189">
        <f t="shared" si="79"/>
        <v>4936</v>
      </c>
      <c r="L934" s="190" t="s">
        <v>551</v>
      </c>
    </row>
    <row r="935" spans="1:12" s="180" customFormat="1" ht="8.65" customHeight="1" x14ac:dyDescent="0.15">
      <c r="A935" s="187" t="s">
        <v>664</v>
      </c>
      <c r="B935" s="187" t="s">
        <v>1980</v>
      </c>
      <c r="C935" s="187" t="s">
        <v>942</v>
      </c>
      <c r="D935" s="187" t="s">
        <v>1981</v>
      </c>
      <c r="E935" s="187" t="s">
        <v>205</v>
      </c>
      <c r="F935" s="188"/>
      <c r="G935" s="18"/>
      <c r="H935" s="18">
        <v>3144</v>
      </c>
      <c r="I935" s="189"/>
      <c r="J935" s="189">
        <f>52500-H935</f>
        <v>49356</v>
      </c>
      <c r="K935" s="189">
        <f t="shared" si="79"/>
        <v>49356</v>
      </c>
      <c r="L935" s="190" t="s">
        <v>551</v>
      </c>
    </row>
    <row r="936" spans="1:12" s="180" customFormat="1" ht="8.65" customHeight="1" x14ac:dyDescent="0.15">
      <c r="A936" s="187" t="s">
        <v>664</v>
      </c>
      <c r="B936" s="187" t="s">
        <v>1982</v>
      </c>
      <c r="C936" s="187" t="s">
        <v>942</v>
      </c>
      <c r="D936" s="187" t="s">
        <v>1983</v>
      </c>
      <c r="E936" s="187" t="s">
        <v>205</v>
      </c>
      <c r="F936" s="188"/>
      <c r="G936" s="18"/>
      <c r="H936" s="18">
        <v>314</v>
      </c>
      <c r="I936" s="189"/>
      <c r="J936" s="189">
        <f>5250-H936</f>
        <v>4936</v>
      </c>
      <c r="K936" s="189">
        <f t="shared" si="79"/>
        <v>4936</v>
      </c>
      <c r="L936" s="190" t="s">
        <v>551</v>
      </c>
    </row>
    <row r="937" spans="1:12" s="180" customFormat="1" ht="8.65" customHeight="1" x14ac:dyDescent="0.15">
      <c r="A937" s="187" t="s">
        <v>664</v>
      </c>
      <c r="B937" s="187" t="s">
        <v>1984</v>
      </c>
      <c r="C937" s="187" t="s">
        <v>942</v>
      </c>
      <c r="D937" s="187" t="s">
        <v>1985</v>
      </c>
      <c r="E937" s="187" t="s">
        <v>205</v>
      </c>
      <c r="F937" s="188"/>
      <c r="G937" s="18"/>
      <c r="H937" s="18">
        <v>409</v>
      </c>
      <c r="I937" s="189"/>
      <c r="J937" s="189">
        <f>6825-H937</f>
        <v>6416</v>
      </c>
      <c r="K937" s="189">
        <f t="shared" si="79"/>
        <v>6416</v>
      </c>
      <c r="L937" s="190" t="s">
        <v>551</v>
      </c>
    </row>
    <row r="938" spans="1:12" s="180" customFormat="1" ht="8.65" customHeight="1" x14ac:dyDescent="0.15">
      <c r="A938" s="187" t="s">
        <v>664</v>
      </c>
      <c r="B938" s="187" t="s">
        <v>1986</v>
      </c>
      <c r="C938" s="187" t="s">
        <v>942</v>
      </c>
      <c r="D938" s="187" t="s">
        <v>1987</v>
      </c>
      <c r="E938" s="187" t="s">
        <v>205</v>
      </c>
      <c r="F938" s="188"/>
      <c r="G938" s="18"/>
      <c r="H938" s="18">
        <v>1824</v>
      </c>
      <c r="I938" s="189"/>
      <c r="J938" s="189">
        <f>30450-H938</f>
        <v>28626</v>
      </c>
      <c r="K938" s="189">
        <f t="shared" si="79"/>
        <v>28626</v>
      </c>
      <c r="L938" s="190" t="s">
        <v>551</v>
      </c>
    </row>
    <row r="939" spans="1:12" s="180" customFormat="1" ht="8.65" customHeight="1" x14ac:dyDescent="0.15">
      <c r="A939" s="187" t="s">
        <v>664</v>
      </c>
      <c r="B939" s="187" t="s">
        <v>1988</v>
      </c>
      <c r="C939" s="187" t="s">
        <v>864</v>
      </c>
      <c r="D939" s="187" t="s">
        <v>1989</v>
      </c>
      <c r="E939" s="187" t="s">
        <v>205</v>
      </c>
      <c r="F939" s="188"/>
      <c r="G939" s="18"/>
      <c r="H939" s="18">
        <v>175100</v>
      </c>
      <c r="I939" s="189"/>
      <c r="J939" s="189">
        <f>175100-H939</f>
        <v>0</v>
      </c>
      <c r="K939" s="189">
        <f t="shared" si="79"/>
        <v>0</v>
      </c>
      <c r="L939" s="190" t="s">
        <v>551</v>
      </c>
    </row>
    <row r="940" spans="1:12" s="180" customFormat="1" ht="8.65" customHeight="1" x14ac:dyDescent="0.15">
      <c r="A940" s="187" t="s">
        <v>664</v>
      </c>
      <c r="B940" s="187" t="s">
        <v>1990</v>
      </c>
      <c r="C940" s="187" t="s">
        <v>864</v>
      </c>
      <c r="D940" s="187" t="s">
        <v>1991</v>
      </c>
      <c r="E940" s="187" t="s">
        <v>205</v>
      </c>
      <c r="F940" s="188"/>
      <c r="G940" s="18">
        <v>585000</v>
      </c>
      <c r="H940" s="18"/>
      <c r="I940" s="189">
        <v>210660.25</v>
      </c>
      <c r="J940" s="189">
        <f>84000+G940</f>
        <v>669000</v>
      </c>
      <c r="K940" s="189">
        <f>+J940-I940</f>
        <v>458339.75</v>
      </c>
      <c r="L940" s="190" t="s">
        <v>551</v>
      </c>
    </row>
    <row r="941" spans="1:12" s="180" customFormat="1" ht="8.65" customHeight="1" x14ac:dyDescent="0.15">
      <c r="A941" s="187" t="s">
        <v>664</v>
      </c>
      <c r="B941" s="187" t="s">
        <v>1992</v>
      </c>
      <c r="C941" s="187" t="s">
        <v>1467</v>
      </c>
      <c r="D941" s="187" t="s">
        <v>1993</v>
      </c>
      <c r="E941" s="187" t="s">
        <v>205</v>
      </c>
      <c r="F941" s="188"/>
      <c r="G941" s="18"/>
      <c r="H941" s="18">
        <v>7990</v>
      </c>
      <c r="I941" s="189">
        <v>14391.73</v>
      </c>
      <c r="J941" s="189">
        <f>25200-H941</f>
        <v>17210</v>
      </c>
      <c r="K941" s="189">
        <f>+J941-I941</f>
        <v>2818.2700000000004</v>
      </c>
      <c r="L941" s="190" t="s">
        <v>551</v>
      </c>
    </row>
    <row r="942" spans="1:12" s="180" customFormat="1" ht="8.65" customHeight="1" x14ac:dyDescent="0.15">
      <c r="A942" s="187" t="s">
        <v>664</v>
      </c>
      <c r="B942" s="187" t="s">
        <v>1994</v>
      </c>
      <c r="C942" s="187" t="s">
        <v>864</v>
      </c>
      <c r="D942" s="187" t="s">
        <v>1995</v>
      </c>
      <c r="E942" s="187" t="s">
        <v>205</v>
      </c>
      <c r="F942" s="188"/>
      <c r="G942" s="18"/>
      <c r="H942" s="18">
        <v>136600</v>
      </c>
      <c r="I942" s="189">
        <v>81172.87</v>
      </c>
      <c r="J942" s="189">
        <f>306600-H942</f>
        <v>170000</v>
      </c>
      <c r="K942" s="189">
        <f>+J942-I942</f>
        <v>88827.13</v>
      </c>
      <c r="L942" s="190" t="s">
        <v>551</v>
      </c>
    </row>
    <row r="943" spans="1:12" s="180" customFormat="1" ht="8.65" customHeight="1" x14ac:dyDescent="0.15">
      <c r="A943" s="187" t="s">
        <v>664</v>
      </c>
      <c r="B943" s="187" t="s">
        <v>1996</v>
      </c>
      <c r="C943" s="187" t="s">
        <v>864</v>
      </c>
      <c r="D943" s="187" t="s">
        <v>1997</v>
      </c>
      <c r="E943" s="187" t="s">
        <v>205</v>
      </c>
      <c r="F943" s="188"/>
      <c r="G943" s="18"/>
      <c r="H943" s="18">
        <v>231050</v>
      </c>
      <c r="I943" s="189"/>
      <c r="J943" s="189">
        <f>285075-H943</f>
        <v>54025</v>
      </c>
      <c r="K943" s="189">
        <f t="shared" si="79"/>
        <v>54025</v>
      </c>
      <c r="L943" s="190" t="s">
        <v>551</v>
      </c>
    </row>
    <row r="944" spans="1:12" s="180" customFormat="1" ht="8.65" customHeight="1" x14ac:dyDescent="0.15">
      <c r="A944" s="187" t="s">
        <v>664</v>
      </c>
      <c r="B944" s="187" t="s">
        <v>1998</v>
      </c>
      <c r="C944" s="187" t="s">
        <v>1269</v>
      </c>
      <c r="D944" s="187" t="s">
        <v>1999</v>
      </c>
      <c r="E944" s="187" t="s">
        <v>205</v>
      </c>
      <c r="F944" s="188"/>
      <c r="G944" s="18"/>
      <c r="H944" s="18">
        <v>11849.82</v>
      </c>
      <c r="I944" s="189">
        <v>37500.18</v>
      </c>
      <c r="J944" s="189">
        <f>49350-H944</f>
        <v>37500.18</v>
      </c>
      <c r="K944" s="189">
        <f>+J944-I944</f>
        <v>0</v>
      </c>
      <c r="L944" s="190" t="s">
        <v>551</v>
      </c>
    </row>
    <row r="945" spans="1:12" s="180" customFormat="1" ht="8.65" customHeight="1" x14ac:dyDescent="0.15">
      <c r="A945" s="187" t="s">
        <v>664</v>
      </c>
      <c r="B945" s="187" t="s">
        <v>2000</v>
      </c>
      <c r="C945" s="187" t="s">
        <v>864</v>
      </c>
      <c r="D945" s="187" t="s">
        <v>2001</v>
      </c>
      <c r="E945" s="187" t="s">
        <v>205</v>
      </c>
      <c r="F945" s="188"/>
      <c r="G945" s="18"/>
      <c r="H945" s="18"/>
      <c r="I945" s="189"/>
      <c r="J945" s="189">
        <v>142800</v>
      </c>
      <c r="K945" s="189">
        <f t="shared" si="79"/>
        <v>142800</v>
      </c>
      <c r="L945" s="190" t="s">
        <v>551</v>
      </c>
    </row>
    <row r="946" spans="1:12" s="180" customFormat="1" ht="8.65" customHeight="1" x14ac:dyDescent="0.15">
      <c r="A946" s="187" t="s">
        <v>664</v>
      </c>
      <c r="B946" s="187" t="s">
        <v>2002</v>
      </c>
      <c r="C946" s="187" t="s">
        <v>864</v>
      </c>
      <c r="D946" s="187" t="s">
        <v>2003</v>
      </c>
      <c r="E946" s="187" t="s">
        <v>205</v>
      </c>
      <c r="F946" s="188"/>
      <c r="G946" s="18"/>
      <c r="H946" s="18">
        <v>13770</v>
      </c>
      <c r="I946" s="189"/>
      <c r="J946" s="189">
        <f>54600-H946</f>
        <v>40830</v>
      </c>
      <c r="K946" s="189">
        <f t="shared" si="79"/>
        <v>40830</v>
      </c>
      <c r="L946" s="190" t="s">
        <v>551</v>
      </c>
    </row>
    <row r="947" spans="1:12" s="180" customFormat="1" ht="8.65" customHeight="1" x14ac:dyDescent="0.15">
      <c r="A947" s="187" t="s">
        <v>664</v>
      </c>
      <c r="B947" s="187" t="s">
        <v>2004</v>
      </c>
      <c r="C947" s="187" t="s">
        <v>864</v>
      </c>
      <c r="D947" s="187" t="s">
        <v>2005</v>
      </c>
      <c r="E947" s="187" t="s">
        <v>205</v>
      </c>
      <c r="F947" s="188"/>
      <c r="G947" s="18"/>
      <c r="H947" s="18">
        <v>7350</v>
      </c>
      <c r="I947" s="189"/>
      <c r="J947" s="189">
        <f>7350-H$947</f>
        <v>0</v>
      </c>
      <c r="K947" s="189">
        <f t="shared" si="79"/>
        <v>0</v>
      </c>
      <c r="L947" s="190" t="s">
        <v>551</v>
      </c>
    </row>
    <row r="948" spans="1:12" s="180" customFormat="1" ht="8.65" customHeight="1" x14ac:dyDescent="0.15">
      <c r="A948" s="187" t="s">
        <v>664</v>
      </c>
      <c r="B948" s="187" t="s">
        <v>2006</v>
      </c>
      <c r="C948" s="187" t="s">
        <v>864</v>
      </c>
      <c r="D948" s="187" t="s">
        <v>2007</v>
      </c>
      <c r="E948" s="187" t="s">
        <v>205</v>
      </c>
      <c r="F948" s="188"/>
      <c r="G948" s="18"/>
      <c r="H948" s="18">
        <v>3700</v>
      </c>
      <c r="I948" s="189"/>
      <c r="J948" s="189">
        <f t="shared" ref="J948:J958" si="81">7350-H$947</f>
        <v>0</v>
      </c>
      <c r="K948" s="189">
        <f t="shared" si="79"/>
        <v>0</v>
      </c>
      <c r="L948" s="190" t="s">
        <v>551</v>
      </c>
    </row>
    <row r="949" spans="1:12" s="180" customFormat="1" ht="8.65" customHeight="1" x14ac:dyDescent="0.15">
      <c r="A949" s="187" t="s">
        <v>664</v>
      </c>
      <c r="B949" s="187" t="s">
        <v>2008</v>
      </c>
      <c r="C949" s="187" t="s">
        <v>864</v>
      </c>
      <c r="D949" s="187" t="s">
        <v>2009</v>
      </c>
      <c r="E949" s="187" t="s">
        <v>205</v>
      </c>
      <c r="F949" s="188"/>
      <c r="G949" s="18"/>
      <c r="H949" s="18">
        <v>7350</v>
      </c>
      <c r="I949" s="189"/>
      <c r="J949" s="189">
        <f t="shared" si="81"/>
        <v>0</v>
      </c>
      <c r="K949" s="189">
        <f t="shared" si="79"/>
        <v>0</v>
      </c>
      <c r="L949" s="190" t="s">
        <v>551</v>
      </c>
    </row>
    <row r="950" spans="1:12" s="180" customFormat="1" ht="8.65" customHeight="1" x14ac:dyDescent="0.15">
      <c r="A950" s="187" t="s">
        <v>664</v>
      </c>
      <c r="B950" s="187" t="s">
        <v>2010</v>
      </c>
      <c r="C950" s="187" t="s">
        <v>864</v>
      </c>
      <c r="D950" s="187" t="s">
        <v>2011</v>
      </c>
      <c r="E950" s="187" t="s">
        <v>205</v>
      </c>
      <c r="F950" s="188"/>
      <c r="G950" s="18"/>
      <c r="H950" s="18">
        <v>23100</v>
      </c>
      <c r="I950" s="189"/>
      <c r="J950" s="189">
        <f t="shared" si="81"/>
        <v>0</v>
      </c>
      <c r="K950" s="189">
        <f t="shared" si="79"/>
        <v>0</v>
      </c>
      <c r="L950" s="190" t="s">
        <v>551</v>
      </c>
    </row>
    <row r="951" spans="1:12" s="180" customFormat="1" ht="8.65" customHeight="1" x14ac:dyDescent="0.15">
      <c r="A951" s="187" t="s">
        <v>664</v>
      </c>
      <c r="B951" s="187" t="s">
        <v>2012</v>
      </c>
      <c r="C951" s="187" t="s">
        <v>864</v>
      </c>
      <c r="D951" s="187" t="s">
        <v>2013</v>
      </c>
      <c r="E951" s="187" t="s">
        <v>205</v>
      </c>
      <c r="F951" s="188"/>
      <c r="G951" s="18"/>
      <c r="H951" s="18">
        <v>93450</v>
      </c>
      <c r="I951" s="189"/>
      <c r="J951" s="189">
        <f t="shared" si="81"/>
        <v>0</v>
      </c>
      <c r="K951" s="189">
        <f t="shared" si="79"/>
        <v>0</v>
      </c>
      <c r="L951" s="190" t="s">
        <v>551</v>
      </c>
    </row>
    <row r="952" spans="1:12" s="180" customFormat="1" ht="8.65" customHeight="1" x14ac:dyDescent="0.15">
      <c r="A952" s="187" t="s">
        <v>664</v>
      </c>
      <c r="B952" s="187" t="s">
        <v>2014</v>
      </c>
      <c r="C952" s="187" t="s">
        <v>864</v>
      </c>
      <c r="D952" s="187" t="s">
        <v>2015</v>
      </c>
      <c r="E952" s="187" t="s">
        <v>205</v>
      </c>
      <c r="F952" s="188"/>
      <c r="G952" s="18"/>
      <c r="H952" s="18">
        <v>9450</v>
      </c>
      <c r="I952" s="189"/>
      <c r="J952" s="189">
        <f t="shared" si="81"/>
        <v>0</v>
      </c>
      <c r="K952" s="189">
        <f t="shared" si="79"/>
        <v>0</v>
      </c>
      <c r="L952" s="190" t="s">
        <v>551</v>
      </c>
    </row>
    <row r="953" spans="1:12" s="180" customFormat="1" ht="8.65" customHeight="1" x14ac:dyDescent="0.15">
      <c r="A953" s="187" t="s">
        <v>664</v>
      </c>
      <c r="B953" s="187" t="s">
        <v>2016</v>
      </c>
      <c r="C953" s="187" t="s">
        <v>864</v>
      </c>
      <c r="D953" s="187" t="s">
        <v>2017</v>
      </c>
      <c r="E953" s="187" t="s">
        <v>205</v>
      </c>
      <c r="F953" s="188"/>
      <c r="G953" s="18"/>
      <c r="H953" s="18">
        <v>35700</v>
      </c>
      <c r="I953" s="189"/>
      <c r="J953" s="189">
        <f t="shared" si="81"/>
        <v>0</v>
      </c>
      <c r="K953" s="189">
        <f t="shared" si="79"/>
        <v>0</v>
      </c>
      <c r="L953" s="190" t="s">
        <v>551</v>
      </c>
    </row>
    <row r="954" spans="1:12" s="180" customFormat="1" ht="8.65" customHeight="1" x14ac:dyDescent="0.15">
      <c r="A954" s="187" t="s">
        <v>664</v>
      </c>
      <c r="B954" s="187" t="s">
        <v>2018</v>
      </c>
      <c r="C954" s="187" t="s">
        <v>864</v>
      </c>
      <c r="D954" s="187" t="s">
        <v>2019</v>
      </c>
      <c r="E954" s="187" t="s">
        <v>205</v>
      </c>
      <c r="F954" s="188"/>
      <c r="G954" s="18"/>
      <c r="H954" s="18">
        <v>63000</v>
      </c>
      <c r="I954" s="189"/>
      <c r="J954" s="189">
        <f t="shared" si="81"/>
        <v>0</v>
      </c>
      <c r="K954" s="189">
        <f t="shared" si="79"/>
        <v>0</v>
      </c>
      <c r="L954" s="190" t="s">
        <v>551</v>
      </c>
    </row>
    <row r="955" spans="1:12" s="180" customFormat="1" ht="8.65" customHeight="1" x14ac:dyDescent="0.15">
      <c r="A955" s="187" t="s">
        <v>664</v>
      </c>
      <c r="B955" s="187" t="s">
        <v>2020</v>
      </c>
      <c r="C955" s="187" t="s">
        <v>864</v>
      </c>
      <c r="D955" s="187" t="s">
        <v>2021</v>
      </c>
      <c r="E955" s="187" t="s">
        <v>205</v>
      </c>
      <c r="F955" s="188"/>
      <c r="G955" s="18"/>
      <c r="H955" s="18">
        <v>90300</v>
      </c>
      <c r="I955" s="189"/>
      <c r="J955" s="189">
        <f t="shared" si="81"/>
        <v>0</v>
      </c>
      <c r="K955" s="189">
        <f t="shared" si="79"/>
        <v>0</v>
      </c>
      <c r="L955" s="190" t="s">
        <v>551</v>
      </c>
    </row>
    <row r="956" spans="1:12" s="180" customFormat="1" ht="8.65" customHeight="1" x14ac:dyDescent="0.15">
      <c r="A956" s="187" t="s">
        <v>664</v>
      </c>
      <c r="B956" s="187" t="s">
        <v>2022</v>
      </c>
      <c r="C956" s="187" t="s">
        <v>864</v>
      </c>
      <c r="D956" s="187" t="s">
        <v>2023</v>
      </c>
      <c r="E956" s="187" t="s">
        <v>205</v>
      </c>
      <c r="F956" s="188"/>
      <c r="G956" s="18"/>
      <c r="H956" s="18">
        <v>31500</v>
      </c>
      <c r="I956" s="189"/>
      <c r="J956" s="189">
        <f t="shared" si="81"/>
        <v>0</v>
      </c>
      <c r="K956" s="189">
        <f t="shared" si="79"/>
        <v>0</v>
      </c>
      <c r="L956" s="190" t="s">
        <v>551</v>
      </c>
    </row>
    <row r="957" spans="1:12" s="180" customFormat="1" ht="8.65" customHeight="1" x14ac:dyDescent="0.15">
      <c r="A957" s="187" t="s">
        <v>664</v>
      </c>
      <c r="B957" s="187" t="s">
        <v>2024</v>
      </c>
      <c r="C957" s="187" t="s">
        <v>864</v>
      </c>
      <c r="D957" s="187" t="s">
        <v>2025</v>
      </c>
      <c r="E957" s="187" t="s">
        <v>205</v>
      </c>
      <c r="F957" s="188"/>
      <c r="G957" s="18"/>
      <c r="H957" s="18">
        <v>31500</v>
      </c>
      <c r="I957" s="189"/>
      <c r="J957" s="189">
        <f t="shared" si="81"/>
        <v>0</v>
      </c>
      <c r="K957" s="189">
        <f t="shared" si="79"/>
        <v>0</v>
      </c>
      <c r="L957" s="190" t="s">
        <v>551</v>
      </c>
    </row>
    <row r="958" spans="1:12" s="180" customFormat="1" ht="8.65" customHeight="1" x14ac:dyDescent="0.15">
      <c r="A958" s="187" t="s">
        <v>664</v>
      </c>
      <c r="B958" s="187" t="s">
        <v>2026</v>
      </c>
      <c r="C958" s="187" t="s">
        <v>864</v>
      </c>
      <c r="D958" s="187" t="s">
        <v>2027</v>
      </c>
      <c r="E958" s="187" t="s">
        <v>205</v>
      </c>
      <c r="F958" s="188"/>
      <c r="G958" s="18"/>
      <c r="H958" s="18">
        <v>160650</v>
      </c>
      <c r="I958" s="189"/>
      <c r="J958" s="189">
        <f t="shared" si="81"/>
        <v>0</v>
      </c>
      <c r="K958" s="189">
        <f t="shared" si="79"/>
        <v>0</v>
      </c>
      <c r="L958" s="190" t="s">
        <v>551</v>
      </c>
    </row>
    <row r="959" spans="1:12" s="211" customFormat="1" ht="8.65" customHeight="1" x14ac:dyDescent="0.15">
      <c r="A959" s="187" t="s">
        <v>664</v>
      </c>
      <c r="B959" s="187" t="s">
        <v>2028</v>
      </c>
      <c r="C959" s="187" t="s">
        <v>864</v>
      </c>
      <c r="D959" s="187" t="s">
        <v>2029</v>
      </c>
      <c r="E959" s="187" t="s">
        <v>205</v>
      </c>
      <c r="F959" s="188"/>
      <c r="G959" s="18"/>
      <c r="H959" s="18">
        <v>2850</v>
      </c>
      <c r="I959" s="189">
        <v>4094.48</v>
      </c>
      <c r="J959" s="189">
        <f>11300-H959</f>
        <v>8450</v>
      </c>
      <c r="K959" s="189">
        <f>+J959-I959</f>
        <v>4355.5200000000004</v>
      </c>
      <c r="L959" s="190" t="s">
        <v>551</v>
      </c>
    </row>
    <row r="960" spans="1:12" s="180" customFormat="1" ht="8.65" customHeight="1" x14ac:dyDescent="0.15">
      <c r="A960" s="187" t="s">
        <v>664</v>
      </c>
      <c r="B960" s="187" t="s">
        <v>2030</v>
      </c>
      <c r="C960" s="187" t="s">
        <v>864</v>
      </c>
      <c r="D960" s="187" t="s">
        <v>2031</v>
      </c>
      <c r="E960" s="187" t="s">
        <v>205</v>
      </c>
      <c r="F960" s="188"/>
      <c r="G960" s="18"/>
      <c r="H960" s="18">
        <v>18100</v>
      </c>
      <c r="I960" s="189"/>
      <c r="J960" s="189">
        <f>18100-H$960</f>
        <v>0</v>
      </c>
      <c r="K960" s="189">
        <f t="shared" si="79"/>
        <v>0</v>
      </c>
      <c r="L960" s="190" t="s">
        <v>551</v>
      </c>
    </row>
    <row r="961" spans="1:12" s="180" customFormat="1" ht="8.65" customHeight="1" x14ac:dyDescent="0.15">
      <c r="A961" s="187" t="s">
        <v>664</v>
      </c>
      <c r="B961" s="187" t="s">
        <v>2032</v>
      </c>
      <c r="C961" s="187" t="s">
        <v>864</v>
      </c>
      <c r="D961" s="187" t="s">
        <v>2033</v>
      </c>
      <c r="E961" s="187" t="s">
        <v>205</v>
      </c>
      <c r="F961" s="188"/>
      <c r="G961" s="18"/>
      <c r="H961" s="18">
        <v>25200</v>
      </c>
      <c r="I961" s="189"/>
      <c r="J961" s="189">
        <f t="shared" ref="J961:J978" si="82">18100-H$960</f>
        <v>0</v>
      </c>
      <c r="K961" s="189">
        <f t="shared" si="79"/>
        <v>0</v>
      </c>
      <c r="L961" s="190" t="s">
        <v>551</v>
      </c>
    </row>
    <row r="962" spans="1:12" s="180" customFormat="1" ht="8.65" customHeight="1" x14ac:dyDescent="0.15">
      <c r="A962" s="187" t="s">
        <v>664</v>
      </c>
      <c r="B962" s="187" t="s">
        <v>2034</v>
      </c>
      <c r="C962" s="187" t="s">
        <v>864</v>
      </c>
      <c r="D962" s="187" t="s">
        <v>2035</v>
      </c>
      <c r="E962" s="187" t="s">
        <v>205</v>
      </c>
      <c r="F962" s="188"/>
      <c r="G962" s="18"/>
      <c r="H962" s="18">
        <v>9500</v>
      </c>
      <c r="I962" s="189"/>
      <c r="J962" s="189">
        <f t="shared" si="82"/>
        <v>0</v>
      </c>
      <c r="K962" s="189">
        <f t="shared" si="79"/>
        <v>0</v>
      </c>
      <c r="L962" s="190" t="s">
        <v>551</v>
      </c>
    </row>
    <row r="963" spans="1:12" s="180" customFormat="1" ht="8.65" customHeight="1" x14ac:dyDescent="0.15">
      <c r="A963" s="187" t="s">
        <v>664</v>
      </c>
      <c r="B963" s="187" t="s">
        <v>2036</v>
      </c>
      <c r="C963" s="187" t="s">
        <v>1269</v>
      </c>
      <c r="D963" s="187" t="s">
        <v>2037</v>
      </c>
      <c r="E963" s="187" t="s">
        <v>205</v>
      </c>
      <c r="F963" s="188"/>
      <c r="G963" s="18"/>
      <c r="H963" s="18">
        <v>105000</v>
      </c>
      <c r="I963" s="189"/>
      <c r="J963" s="189">
        <f t="shared" si="82"/>
        <v>0</v>
      </c>
      <c r="K963" s="189">
        <f t="shared" si="79"/>
        <v>0</v>
      </c>
      <c r="L963" s="190" t="s">
        <v>551</v>
      </c>
    </row>
    <row r="964" spans="1:12" s="180" customFormat="1" ht="8.65" customHeight="1" x14ac:dyDescent="0.15">
      <c r="A964" s="187" t="s">
        <v>664</v>
      </c>
      <c r="B964" s="187" t="s">
        <v>2038</v>
      </c>
      <c r="C964" s="187" t="s">
        <v>864</v>
      </c>
      <c r="D964" s="187" t="s">
        <v>2039</v>
      </c>
      <c r="E964" s="187" t="s">
        <v>205</v>
      </c>
      <c r="F964" s="188"/>
      <c r="G964" s="18"/>
      <c r="H964" s="18">
        <v>14875</v>
      </c>
      <c r="I964" s="189"/>
      <c r="J964" s="189">
        <f t="shared" si="82"/>
        <v>0</v>
      </c>
      <c r="K964" s="189">
        <f t="shared" si="79"/>
        <v>0</v>
      </c>
      <c r="L964" s="190" t="s">
        <v>551</v>
      </c>
    </row>
    <row r="965" spans="1:12" s="180" customFormat="1" ht="8.65" customHeight="1" x14ac:dyDescent="0.15">
      <c r="A965" s="187" t="s">
        <v>664</v>
      </c>
      <c r="B965" s="187" t="s">
        <v>2040</v>
      </c>
      <c r="C965" s="187" t="s">
        <v>864</v>
      </c>
      <c r="D965" s="187" t="s">
        <v>2041</v>
      </c>
      <c r="E965" s="187" t="s">
        <v>205</v>
      </c>
      <c r="F965" s="188"/>
      <c r="G965" s="18"/>
      <c r="H965" s="18">
        <v>6300</v>
      </c>
      <c r="I965" s="189"/>
      <c r="J965" s="189">
        <f t="shared" si="82"/>
        <v>0</v>
      </c>
      <c r="K965" s="189">
        <f t="shared" si="79"/>
        <v>0</v>
      </c>
      <c r="L965" s="190" t="s">
        <v>551</v>
      </c>
    </row>
    <row r="966" spans="1:12" s="180" customFormat="1" ht="8.65" customHeight="1" x14ac:dyDescent="0.15">
      <c r="A966" s="187" t="s">
        <v>664</v>
      </c>
      <c r="B966" s="187" t="s">
        <v>2042</v>
      </c>
      <c r="C966" s="187" t="s">
        <v>864</v>
      </c>
      <c r="D966" s="187" t="s">
        <v>2043</v>
      </c>
      <c r="E966" s="187" t="s">
        <v>205</v>
      </c>
      <c r="F966" s="188"/>
      <c r="G966" s="18"/>
      <c r="H966" s="18">
        <v>26125</v>
      </c>
      <c r="I966" s="189"/>
      <c r="J966" s="189">
        <f t="shared" si="82"/>
        <v>0</v>
      </c>
      <c r="K966" s="189">
        <f t="shared" si="79"/>
        <v>0</v>
      </c>
      <c r="L966" s="190" t="s">
        <v>551</v>
      </c>
    </row>
    <row r="967" spans="1:12" s="180" customFormat="1" ht="8.65" customHeight="1" x14ac:dyDescent="0.15">
      <c r="A967" s="187" t="s">
        <v>664</v>
      </c>
      <c r="B967" s="187" t="s">
        <v>2044</v>
      </c>
      <c r="C967" s="187" t="s">
        <v>864</v>
      </c>
      <c r="D967" s="187" t="s">
        <v>2045</v>
      </c>
      <c r="E967" s="187" t="s">
        <v>205</v>
      </c>
      <c r="F967" s="188"/>
      <c r="G967" s="18"/>
      <c r="H967" s="18">
        <v>8500</v>
      </c>
      <c r="I967" s="189"/>
      <c r="J967" s="189">
        <f t="shared" si="82"/>
        <v>0</v>
      </c>
      <c r="K967" s="189">
        <f t="shared" si="79"/>
        <v>0</v>
      </c>
      <c r="L967" s="190" t="s">
        <v>551</v>
      </c>
    </row>
    <row r="968" spans="1:12" s="180" customFormat="1" ht="8.65" customHeight="1" x14ac:dyDescent="0.15">
      <c r="A968" s="187" t="s">
        <v>664</v>
      </c>
      <c r="B968" s="187" t="s">
        <v>2046</v>
      </c>
      <c r="C968" s="187" t="s">
        <v>864</v>
      </c>
      <c r="D968" s="187" t="s">
        <v>2047</v>
      </c>
      <c r="E968" s="187" t="s">
        <v>205</v>
      </c>
      <c r="F968" s="188"/>
      <c r="G968" s="18"/>
      <c r="H968" s="18">
        <v>5400</v>
      </c>
      <c r="I968" s="189"/>
      <c r="J968" s="189">
        <f t="shared" si="82"/>
        <v>0</v>
      </c>
      <c r="K968" s="189">
        <f t="shared" si="79"/>
        <v>0</v>
      </c>
      <c r="L968" s="190" t="s">
        <v>551</v>
      </c>
    </row>
    <row r="969" spans="1:12" s="180" customFormat="1" ht="8.65" customHeight="1" x14ac:dyDescent="0.15">
      <c r="A969" s="187" t="s">
        <v>664</v>
      </c>
      <c r="B969" s="187" t="s">
        <v>2048</v>
      </c>
      <c r="C969" s="187" t="s">
        <v>864</v>
      </c>
      <c r="D969" s="187" t="s">
        <v>2049</v>
      </c>
      <c r="E969" s="187" t="s">
        <v>205</v>
      </c>
      <c r="F969" s="188"/>
      <c r="G969" s="18"/>
      <c r="H969" s="18">
        <v>8900</v>
      </c>
      <c r="I969" s="189"/>
      <c r="J969" s="189">
        <f t="shared" si="82"/>
        <v>0</v>
      </c>
      <c r="K969" s="189">
        <f t="shared" si="79"/>
        <v>0</v>
      </c>
      <c r="L969" s="190" t="s">
        <v>551</v>
      </c>
    </row>
    <row r="970" spans="1:12" s="180" customFormat="1" ht="8.65" customHeight="1" x14ac:dyDescent="0.15">
      <c r="A970" s="187" t="s">
        <v>664</v>
      </c>
      <c r="B970" s="187" t="s">
        <v>2050</v>
      </c>
      <c r="C970" s="187" t="s">
        <v>864</v>
      </c>
      <c r="D970" s="187" t="s">
        <v>2051</v>
      </c>
      <c r="E970" s="187" t="s">
        <v>205</v>
      </c>
      <c r="F970" s="188"/>
      <c r="G970" s="18"/>
      <c r="H970" s="18">
        <f>50000+66550</f>
        <v>116550</v>
      </c>
      <c r="I970" s="189"/>
      <c r="J970" s="189">
        <f t="shared" si="82"/>
        <v>0</v>
      </c>
      <c r="K970" s="189">
        <f t="shared" si="79"/>
        <v>0</v>
      </c>
      <c r="L970" s="190" t="s">
        <v>1534</v>
      </c>
    </row>
    <row r="971" spans="1:12" s="180" customFormat="1" ht="8.65" customHeight="1" x14ac:dyDescent="0.15">
      <c r="A971" s="187" t="s">
        <v>664</v>
      </c>
      <c r="B971" s="187" t="s">
        <v>2052</v>
      </c>
      <c r="C971" s="187" t="s">
        <v>864</v>
      </c>
      <c r="D971" s="187" t="s">
        <v>2053</v>
      </c>
      <c r="E971" s="187" t="s">
        <v>205</v>
      </c>
      <c r="F971" s="188"/>
      <c r="G971" s="18"/>
      <c r="H971" s="18">
        <v>11500</v>
      </c>
      <c r="I971" s="189"/>
      <c r="J971" s="189">
        <f t="shared" si="82"/>
        <v>0</v>
      </c>
      <c r="K971" s="189">
        <f t="shared" si="79"/>
        <v>0</v>
      </c>
      <c r="L971" s="190" t="s">
        <v>551</v>
      </c>
    </row>
    <row r="972" spans="1:12" s="180" customFormat="1" ht="8.65" customHeight="1" x14ac:dyDescent="0.15">
      <c r="A972" s="187" t="s">
        <v>664</v>
      </c>
      <c r="B972" s="187" t="s">
        <v>2054</v>
      </c>
      <c r="C972" s="187" t="s">
        <v>864</v>
      </c>
      <c r="D972" s="187" t="s">
        <v>2055</v>
      </c>
      <c r="E972" s="187" t="s">
        <v>205</v>
      </c>
      <c r="F972" s="188"/>
      <c r="G972" s="18"/>
      <c r="H972" s="18">
        <v>34650</v>
      </c>
      <c r="I972" s="189"/>
      <c r="J972" s="189">
        <f t="shared" si="82"/>
        <v>0</v>
      </c>
      <c r="K972" s="189">
        <f t="shared" si="79"/>
        <v>0</v>
      </c>
      <c r="L972" s="190" t="s">
        <v>551</v>
      </c>
    </row>
    <row r="973" spans="1:12" s="180" customFormat="1" ht="8.65" customHeight="1" x14ac:dyDescent="0.15">
      <c r="A973" s="187" t="s">
        <v>664</v>
      </c>
      <c r="B973" s="187" t="s">
        <v>2056</v>
      </c>
      <c r="C973" s="187" t="s">
        <v>864</v>
      </c>
      <c r="D973" s="187" t="s">
        <v>2057</v>
      </c>
      <c r="E973" s="187" t="s">
        <v>205</v>
      </c>
      <c r="F973" s="188"/>
      <c r="G973" s="18"/>
      <c r="H973" s="18">
        <v>1675</v>
      </c>
      <c r="I973" s="189"/>
      <c r="J973" s="189">
        <f t="shared" si="82"/>
        <v>0</v>
      </c>
      <c r="K973" s="189">
        <f t="shared" ref="K973:K1016" si="83">+J973-I$632</f>
        <v>0</v>
      </c>
      <c r="L973" s="190" t="s">
        <v>551</v>
      </c>
    </row>
    <row r="974" spans="1:12" s="180" customFormat="1" ht="8.65" customHeight="1" x14ac:dyDescent="0.15">
      <c r="A974" s="187" t="s">
        <v>664</v>
      </c>
      <c r="B974" s="187" t="s">
        <v>2058</v>
      </c>
      <c r="C974" s="187" t="s">
        <v>864</v>
      </c>
      <c r="D974" s="187" t="s">
        <v>2059</v>
      </c>
      <c r="E974" s="187" t="s">
        <v>205</v>
      </c>
      <c r="F974" s="188"/>
      <c r="G974" s="18"/>
      <c r="H974" s="18">
        <v>4400</v>
      </c>
      <c r="I974" s="189"/>
      <c r="J974" s="189">
        <f t="shared" si="82"/>
        <v>0</v>
      </c>
      <c r="K974" s="189">
        <f t="shared" si="83"/>
        <v>0</v>
      </c>
      <c r="L974" s="190" t="s">
        <v>551</v>
      </c>
    </row>
    <row r="975" spans="1:12" s="180" customFormat="1" ht="8.65" customHeight="1" x14ac:dyDescent="0.15">
      <c r="A975" s="187" t="s">
        <v>664</v>
      </c>
      <c r="B975" s="187" t="s">
        <v>2060</v>
      </c>
      <c r="C975" s="187" t="s">
        <v>864</v>
      </c>
      <c r="D975" s="187" t="s">
        <v>2061</v>
      </c>
      <c r="E975" s="187" t="s">
        <v>205</v>
      </c>
      <c r="F975" s="188"/>
      <c r="G975" s="18"/>
      <c r="H975" s="18">
        <v>36200</v>
      </c>
      <c r="I975" s="189"/>
      <c r="J975" s="189">
        <f t="shared" si="82"/>
        <v>0</v>
      </c>
      <c r="K975" s="189">
        <f t="shared" si="83"/>
        <v>0</v>
      </c>
      <c r="L975" s="190" t="s">
        <v>551</v>
      </c>
    </row>
    <row r="976" spans="1:12" s="180" customFormat="1" ht="8.65" customHeight="1" x14ac:dyDescent="0.15">
      <c r="A976" s="187" t="s">
        <v>664</v>
      </c>
      <c r="B976" s="187" t="s">
        <v>2062</v>
      </c>
      <c r="C976" s="187" t="s">
        <v>864</v>
      </c>
      <c r="D976" s="187" t="s">
        <v>2063</v>
      </c>
      <c r="E976" s="187" t="s">
        <v>205</v>
      </c>
      <c r="F976" s="188"/>
      <c r="G976" s="18"/>
      <c r="H976" s="18">
        <v>49850</v>
      </c>
      <c r="I976" s="189"/>
      <c r="J976" s="189">
        <f t="shared" si="82"/>
        <v>0</v>
      </c>
      <c r="K976" s="189">
        <f t="shared" si="83"/>
        <v>0</v>
      </c>
      <c r="L976" s="190" t="s">
        <v>551</v>
      </c>
    </row>
    <row r="977" spans="1:12" s="180" customFormat="1" ht="8.65" customHeight="1" x14ac:dyDescent="0.15">
      <c r="A977" s="187" t="s">
        <v>664</v>
      </c>
      <c r="B977" s="187" t="s">
        <v>2064</v>
      </c>
      <c r="C977" s="187" t="s">
        <v>864</v>
      </c>
      <c r="D977" s="187" t="s">
        <v>2065</v>
      </c>
      <c r="E977" s="187" t="s">
        <v>205</v>
      </c>
      <c r="F977" s="188"/>
      <c r="G977" s="18"/>
      <c r="H977" s="18">
        <v>9000</v>
      </c>
      <c r="I977" s="189"/>
      <c r="J977" s="189">
        <f t="shared" si="82"/>
        <v>0</v>
      </c>
      <c r="K977" s="189">
        <f t="shared" si="83"/>
        <v>0</v>
      </c>
      <c r="L977" s="190" t="s">
        <v>551</v>
      </c>
    </row>
    <row r="978" spans="1:12" s="180" customFormat="1" ht="8.65" customHeight="1" x14ac:dyDescent="0.15">
      <c r="A978" s="187" t="s">
        <v>664</v>
      </c>
      <c r="B978" s="187" t="s">
        <v>2066</v>
      </c>
      <c r="C978" s="187" t="s">
        <v>864</v>
      </c>
      <c r="D978" s="187" t="s">
        <v>2067</v>
      </c>
      <c r="E978" s="187" t="s">
        <v>205</v>
      </c>
      <c r="F978" s="188"/>
      <c r="G978" s="18"/>
      <c r="H978" s="18">
        <v>6900</v>
      </c>
      <c r="I978" s="189"/>
      <c r="J978" s="189">
        <f t="shared" si="82"/>
        <v>0</v>
      </c>
      <c r="K978" s="189">
        <f t="shared" si="83"/>
        <v>0</v>
      </c>
      <c r="L978" s="190" t="s">
        <v>551</v>
      </c>
    </row>
    <row r="979" spans="1:12" s="210" customFormat="1" ht="8.65" customHeight="1" x14ac:dyDescent="0.15">
      <c r="A979" s="187" t="s">
        <v>664</v>
      </c>
      <c r="B979" s="187" t="s">
        <v>2068</v>
      </c>
      <c r="C979" s="187" t="s">
        <v>864</v>
      </c>
      <c r="D979" s="187" t="s">
        <v>2069</v>
      </c>
      <c r="E979" s="187" t="s">
        <v>205</v>
      </c>
      <c r="F979" s="188"/>
      <c r="G979" s="18"/>
      <c r="H979" s="18"/>
      <c r="I979" s="189">
        <v>3802.45</v>
      </c>
      <c r="J979" s="189">
        <v>89850</v>
      </c>
      <c r="K979" s="189">
        <f>+J979-I979</f>
        <v>86047.55</v>
      </c>
      <c r="L979" s="190" t="s">
        <v>551</v>
      </c>
    </row>
    <row r="980" spans="1:12" s="180" customFormat="1" ht="8.65" customHeight="1" x14ac:dyDescent="0.15">
      <c r="A980" s="187" t="s">
        <v>664</v>
      </c>
      <c r="B980" s="187" t="s">
        <v>2070</v>
      </c>
      <c r="C980" s="187" t="s">
        <v>864</v>
      </c>
      <c r="D980" s="187" t="s">
        <v>2071</v>
      </c>
      <c r="E980" s="187" t="s">
        <v>205</v>
      </c>
      <c r="F980" s="188"/>
      <c r="G980" s="18"/>
      <c r="H980" s="18">
        <v>7120</v>
      </c>
      <c r="I980" s="189"/>
      <c r="J980" s="189">
        <f>7120-H980</f>
        <v>0</v>
      </c>
      <c r="K980" s="189">
        <f t="shared" si="83"/>
        <v>0</v>
      </c>
      <c r="L980" s="190" t="s">
        <v>551</v>
      </c>
    </row>
    <row r="981" spans="1:12" s="180" customFormat="1" ht="8.65" customHeight="1" x14ac:dyDescent="0.15">
      <c r="A981" s="187" t="s">
        <v>664</v>
      </c>
      <c r="B981" s="187" t="s">
        <v>2072</v>
      </c>
      <c r="C981" s="187" t="s">
        <v>864</v>
      </c>
      <c r="D981" s="187" t="s">
        <v>2073</v>
      </c>
      <c r="E981" s="187" t="s">
        <v>205</v>
      </c>
      <c r="F981" s="188"/>
      <c r="G981" s="18"/>
      <c r="H981" s="18">
        <v>23730</v>
      </c>
      <c r="I981" s="189"/>
      <c r="J981" s="189">
        <f>23730-H981</f>
        <v>0</v>
      </c>
      <c r="K981" s="189">
        <f t="shared" si="83"/>
        <v>0</v>
      </c>
      <c r="L981" s="190" t="s">
        <v>551</v>
      </c>
    </row>
    <row r="982" spans="1:12" s="180" customFormat="1" ht="8.65" customHeight="1" x14ac:dyDescent="0.15">
      <c r="A982" s="187" t="s">
        <v>664</v>
      </c>
      <c r="B982" s="187" t="s">
        <v>2074</v>
      </c>
      <c r="C982" s="187" t="s">
        <v>1269</v>
      </c>
      <c r="D982" s="187" t="s">
        <v>2075</v>
      </c>
      <c r="E982" s="187" t="s">
        <v>205</v>
      </c>
      <c r="F982" s="188"/>
      <c r="G982" s="18">
        <v>195238.16</v>
      </c>
      <c r="H982" s="18"/>
      <c r="I982" s="189">
        <v>293800</v>
      </c>
      <c r="J982" s="189">
        <f>228900+G982</f>
        <v>424138.16000000003</v>
      </c>
      <c r="K982" s="189">
        <f>+J982-I982</f>
        <v>130338.16000000003</v>
      </c>
      <c r="L982" s="190" t="s">
        <v>551</v>
      </c>
    </row>
    <row r="983" spans="1:12" s="180" customFormat="1" ht="8.65" customHeight="1" x14ac:dyDescent="0.15">
      <c r="A983" s="187" t="s">
        <v>664</v>
      </c>
      <c r="B983" s="187" t="s">
        <v>2076</v>
      </c>
      <c r="C983" s="187" t="s">
        <v>673</v>
      </c>
      <c r="D983" s="187" t="s">
        <v>2077</v>
      </c>
      <c r="E983" s="187" t="s">
        <v>205</v>
      </c>
      <c r="F983" s="188"/>
      <c r="G983" s="18"/>
      <c r="H983" s="18"/>
      <c r="I983" s="189"/>
      <c r="J983" s="189">
        <v>105000</v>
      </c>
      <c r="K983" s="189">
        <f t="shared" si="83"/>
        <v>105000</v>
      </c>
      <c r="L983" s="190" t="s">
        <v>551</v>
      </c>
    </row>
    <row r="984" spans="1:12" s="180" customFormat="1" ht="8.65" customHeight="1" x14ac:dyDescent="0.15">
      <c r="A984" s="187" t="s">
        <v>664</v>
      </c>
      <c r="B984" s="187" t="s">
        <v>1096</v>
      </c>
      <c r="C984" s="187" t="s">
        <v>694</v>
      </c>
      <c r="D984" s="187" t="s">
        <v>1097</v>
      </c>
      <c r="E984" s="187" t="s">
        <v>205</v>
      </c>
      <c r="F984" s="188"/>
      <c r="G984" s="18"/>
      <c r="H984" s="18">
        <v>35635</v>
      </c>
      <c r="I984" s="189"/>
      <c r="J984" s="189">
        <f>56000-H984</f>
        <v>20365</v>
      </c>
      <c r="K984" s="189">
        <f t="shared" si="83"/>
        <v>20365</v>
      </c>
      <c r="L984" s="190" t="s">
        <v>551</v>
      </c>
    </row>
    <row r="985" spans="1:12" s="180" customFormat="1" ht="8.65" customHeight="1" x14ac:dyDescent="0.15">
      <c r="A985" s="187" t="s">
        <v>664</v>
      </c>
      <c r="B985" s="187" t="s">
        <v>1361</v>
      </c>
      <c r="C985" s="187" t="s">
        <v>864</v>
      </c>
      <c r="D985" s="187" t="s">
        <v>2078</v>
      </c>
      <c r="E985" s="187" t="s">
        <v>205</v>
      </c>
      <c r="F985" s="188"/>
      <c r="G985" s="18"/>
      <c r="H985" s="18">
        <v>30000</v>
      </c>
      <c r="I985" s="189"/>
      <c r="J985" s="189">
        <f>30000-H985</f>
        <v>0</v>
      </c>
      <c r="K985" s="189">
        <f t="shared" si="83"/>
        <v>0</v>
      </c>
      <c r="L985" s="190" t="s">
        <v>551</v>
      </c>
    </row>
    <row r="986" spans="1:12" s="180" customFormat="1" ht="8.65" customHeight="1" x14ac:dyDescent="0.15">
      <c r="A986" s="187" t="s">
        <v>664</v>
      </c>
      <c r="B986" s="187" t="s">
        <v>2079</v>
      </c>
      <c r="C986" s="187" t="s">
        <v>1344</v>
      </c>
      <c r="D986" s="187" t="s">
        <v>2080</v>
      </c>
      <c r="E986" s="187" t="s">
        <v>205</v>
      </c>
      <c r="F986" s="188"/>
      <c r="G986" s="18">
        <v>30000</v>
      </c>
      <c r="H986" s="18"/>
      <c r="I986" s="189"/>
      <c r="J986" s="189">
        <f>144000+G986</f>
        <v>174000</v>
      </c>
      <c r="K986" s="189">
        <f t="shared" si="83"/>
        <v>174000</v>
      </c>
      <c r="L986" s="190" t="s">
        <v>551</v>
      </c>
    </row>
    <row r="987" spans="1:12" s="180" customFormat="1" ht="8.65" customHeight="1" x14ac:dyDescent="0.15">
      <c r="A987" s="187" t="s">
        <v>664</v>
      </c>
      <c r="B987" s="187" t="s">
        <v>2081</v>
      </c>
      <c r="C987" s="187" t="s">
        <v>769</v>
      </c>
      <c r="D987" s="187" t="s">
        <v>2082</v>
      </c>
      <c r="E987" s="187" t="s">
        <v>205</v>
      </c>
      <c r="F987" s="188"/>
      <c r="G987" s="18"/>
      <c r="H987" s="18">
        <v>94500</v>
      </c>
      <c r="I987" s="189"/>
      <c r="J987" s="189">
        <f>94500-H$987</f>
        <v>0</v>
      </c>
      <c r="K987" s="189">
        <f t="shared" si="83"/>
        <v>0</v>
      </c>
      <c r="L987" s="190" t="s">
        <v>551</v>
      </c>
    </row>
    <row r="988" spans="1:12" s="180" customFormat="1" ht="8.65" customHeight="1" x14ac:dyDescent="0.15">
      <c r="A988" s="187" t="s">
        <v>664</v>
      </c>
      <c r="B988" s="187" t="s">
        <v>742</v>
      </c>
      <c r="C988" s="187" t="s">
        <v>683</v>
      </c>
      <c r="D988" s="187" t="s">
        <v>743</v>
      </c>
      <c r="E988" s="187" t="s">
        <v>205</v>
      </c>
      <c r="F988" s="188"/>
      <c r="G988" s="18"/>
      <c r="H988" s="18">
        <v>16560</v>
      </c>
      <c r="I988" s="189"/>
      <c r="J988" s="189">
        <f t="shared" ref="J988:J990" si="84">94500-H$987</f>
        <v>0</v>
      </c>
      <c r="K988" s="189">
        <f t="shared" si="83"/>
        <v>0</v>
      </c>
      <c r="L988" s="190" t="s">
        <v>551</v>
      </c>
    </row>
    <row r="989" spans="1:12" s="180" customFormat="1" ht="8.65" customHeight="1" x14ac:dyDescent="0.15">
      <c r="A989" s="187" t="s">
        <v>664</v>
      </c>
      <c r="B989" s="187" t="s">
        <v>2083</v>
      </c>
      <c r="C989" s="187" t="s">
        <v>683</v>
      </c>
      <c r="D989" s="187" t="s">
        <v>2084</v>
      </c>
      <c r="E989" s="187" t="s">
        <v>205</v>
      </c>
      <c r="F989" s="188"/>
      <c r="G989" s="18"/>
      <c r="H989" s="18">
        <v>30000</v>
      </c>
      <c r="I989" s="189"/>
      <c r="J989" s="189">
        <f t="shared" si="84"/>
        <v>0</v>
      </c>
      <c r="K989" s="189">
        <f t="shared" si="83"/>
        <v>0</v>
      </c>
      <c r="L989" s="190" t="s">
        <v>551</v>
      </c>
    </row>
    <row r="990" spans="1:12" s="180" customFormat="1" ht="8.65" customHeight="1" x14ac:dyDescent="0.15">
      <c r="A990" s="187" t="s">
        <v>664</v>
      </c>
      <c r="B990" s="187" t="s">
        <v>748</v>
      </c>
      <c r="C990" s="187" t="s">
        <v>683</v>
      </c>
      <c r="D990" s="187" t="s">
        <v>749</v>
      </c>
      <c r="E990" s="187" t="s">
        <v>205</v>
      </c>
      <c r="F990" s="188"/>
      <c r="G990" s="18"/>
      <c r="H990" s="18">
        <v>6000</v>
      </c>
      <c r="I990" s="189"/>
      <c r="J990" s="189">
        <f t="shared" si="84"/>
        <v>0</v>
      </c>
      <c r="K990" s="189">
        <f t="shared" si="83"/>
        <v>0</v>
      </c>
      <c r="L990" s="190" t="s">
        <v>551</v>
      </c>
    </row>
    <row r="991" spans="1:12" s="180" customFormat="1" ht="8.65" customHeight="1" x14ac:dyDescent="0.15">
      <c r="A991" s="187" t="s">
        <v>664</v>
      </c>
      <c r="B991" s="187" t="s">
        <v>815</v>
      </c>
      <c r="C991" s="187" t="s">
        <v>673</v>
      </c>
      <c r="D991" s="187" t="s">
        <v>816</v>
      </c>
      <c r="E991" s="187" t="s">
        <v>205</v>
      </c>
      <c r="F991" s="188"/>
      <c r="G991" s="18"/>
      <c r="H991" s="18">
        <v>14918</v>
      </c>
      <c r="I991" s="189"/>
      <c r="J991" s="189">
        <f>42000-H991</f>
        <v>27082</v>
      </c>
      <c r="K991" s="189">
        <f t="shared" si="83"/>
        <v>27082</v>
      </c>
      <c r="L991" s="190" t="s">
        <v>551</v>
      </c>
    </row>
    <row r="992" spans="1:12" s="180" customFormat="1" ht="8.65" customHeight="1" x14ac:dyDescent="0.15">
      <c r="A992" s="187" t="s">
        <v>664</v>
      </c>
      <c r="B992" s="187" t="s">
        <v>2085</v>
      </c>
      <c r="C992" s="187" t="s">
        <v>1269</v>
      </c>
      <c r="D992" s="187" t="s">
        <v>2086</v>
      </c>
      <c r="E992" s="187" t="s">
        <v>205</v>
      </c>
      <c r="F992" s="188"/>
      <c r="G992" s="18"/>
      <c r="H992" s="18">
        <v>44100</v>
      </c>
      <c r="I992" s="189"/>
      <c r="J992" s="189">
        <f>44100-H992</f>
        <v>0</v>
      </c>
      <c r="K992" s="189">
        <f t="shared" si="83"/>
        <v>0</v>
      </c>
      <c r="L992" s="190" t="s">
        <v>551</v>
      </c>
    </row>
    <row r="993" spans="1:12" s="180" customFormat="1" ht="8.65" customHeight="1" x14ac:dyDescent="0.15">
      <c r="A993" s="187" t="s">
        <v>664</v>
      </c>
      <c r="B993" s="187" t="s">
        <v>1374</v>
      </c>
      <c r="C993" s="187" t="s">
        <v>1269</v>
      </c>
      <c r="D993" s="187" t="s">
        <v>1375</v>
      </c>
      <c r="E993" s="187" t="s">
        <v>205</v>
      </c>
      <c r="F993" s="188"/>
      <c r="G993" s="18"/>
      <c r="H993" s="18">
        <f>50000+3498</f>
        <v>53498</v>
      </c>
      <c r="I993" s="189">
        <v>24679.200000000001</v>
      </c>
      <c r="J993" s="189">
        <f>150000-H993</f>
        <v>96502</v>
      </c>
      <c r="K993" s="189">
        <f>+J993-I993</f>
        <v>71822.8</v>
      </c>
      <c r="L993" s="190" t="s">
        <v>551</v>
      </c>
    </row>
    <row r="994" spans="1:12" s="180" customFormat="1" ht="8.65" customHeight="1" x14ac:dyDescent="0.15">
      <c r="A994" s="187" t="s">
        <v>664</v>
      </c>
      <c r="B994" s="187" t="s">
        <v>1374</v>
      </c>
      <c r="C994" s="187" t="s">
        <v>1269</v>
      </c>
      <c r="D994" s="187" t="s">
        <v>1375</v>
      </c>
      <c r="E994" s="187" t="s">
        <v>205</v>
      </c>
      <c r="F994" s="188"/>
      <c r="G994" s="18"/>
      <c r="H994" s="18">
        <v>73500</v>
      </c>
      <c r="I994" s="189"/>
      <c r="J994" s="189">
        <f>73500-H994</f>
        <v>0</v>
      </c>
      <c r="K994" s="189">
        <f t="shared" si="83"/>
        <v>0</v>
      </c>
      <c r="L994" s="190" t="s">
        <v>551</v>
      </c>
    </row>
    <row r="995" spans="1:12" s="180" customFormat="1" ht="8.65" customHeight="1" x14ac:dyDescent="0.15">
      <c r="A995" s="187" t="s">
        <v>664</v>
      </c>
      <c r="B995" s="187" t="s">
        <v>2087</v>
      </c>
      <c r="C995" s="187" t="s">
        <v>1269</v>
      </c>
      <c r="D995" s="187" t="s">
        <v>2088</v>
      </c>
      <c r="E995" s="187" t="s">
        <v>205</v>
      </c>
      <c r="F995" s="188"/>
      <c r="G995" s="18"/>
      <c r="H995" s="18">
        <v>56637.5</v>
      </c>
      <c r="I995" s="189"/>
      <c r="J995" s="189">
        <f>56700-H995</f>
        <v>62.5</v>
      </c>
      <c r="K995" s="189">
        <f t="shared" si="83"/>
        <v>62.5</v>
      </c>
      <c r="L995" s="190" t="s">
        <v>551</v>
      </c>
    </row>
    <row r="996" spans="1:12" s="180" customFormat="1" ht="8.65" customHeight="1" x14ac:dyDescent="0.15">
      <c r="A996" s="187" t="s">
        <v>664</v>
      </c>
      <c r="B996" s="187" t="s">
        <v>2089</v>
      </c>
      <c r="C996" s="187" t="s">
        <v>1269</v>
      </c>
      <c r="D996" s="187" t="s">
        <v>2090</v>
      </c>
      <c r="E996" s="187" t="s">
        <v>205</v>
      </c>
      <c r="F996" s="188"/>
      <c r="G996" s="18"/>
      <c r="H996" s="18">
        <v>37055</v>
      </c>
      <c r="I996" s="189">
        <v>172607.5</v>
      </c>
      <c r="J996" s="189">
        <f>210000-H996</f>
        <v>172945</v>
      </c>
      <c r="K996" s="189">
        <f>+J996-I996</f>
        <v>337.5</v>
      </c>
      <c r="L996" s="190" t="s">
        <v>551</v>
      </c>
    </row>
    <row r="997" spans="1:12" s="180" customFormat="1" ht="8.65" customHeight="1" x14ac:dyDescent="0.15">
      <c r="A997" s="187" t="s">
        <v>664</v>
      </c>
      <c r="B997" s="187" t="s">
        <v>2091</v>
      </c>
      <c r="C997" s="187" t="s">
        <v>1269</v>
      </c>
      <c r="D997" s="187" t="s">
        <v>2092</v>
      </c>
      <c r="E997" s="187" t="s">
        <v>205</v>
      </c>
      <c r="F997" s="188"/>
      <c r="G997" s="18"/>
      <c r="H997" s="18">
        <v>51000</v>
      </c>
      <c r="I997" s="189">
        <v>226000</v>
      </c>
      <c r="J997" s="189">
        <f>277200-H997</f>
        <v>226200</v>
      </c>
      <c r="K997" s="189">
        <f>+J997-I997</f>
        <v>200</v>
      </c>
      <c r="L997" s="190" t="s">
        <v>1534</v>
      </c>
    </row>
    <row r="998" spans="1:12" s="180" customFormat="1" ht="8.65" customHeight="1" x14ac:dyDescent="0.15">
      <c r="A998" s="187" t="s">
        <v>664</v>
      </c>
      <c r="B998" s="187" t="s">
        <v>2093</v>
      </c>
      <c r="C998" s="187" t="s">
        <v>1269</v>
      </c>
      <c r="D998" s="187" t="s">
        <v>2094</v>
      </c>
      <c r="E998" s="187" t="s">
        <v>205</v>
      </c>
      <c r="F998" s="188"/>
      <c r="G998" s="18"/>
      <c r="H998" s="18">
        <v>183750</v>
      </c>
      <c r="I998" s="189"/>
      <c r="J998" s="189">
        <f>183750-H998</f>
        <v>0</v>
      </c>
      <c r="K998" s="189">
        <f t="shared" si="83"/>
        <v>0</v>
      </c>
      <c r="L998" s="190" t="s">
        <v>551</v>
      </c>
    </row>
    <row r="999" spans="1:12" s="180" customFormat="1" ht="8.65" customHeight="1" x14ac:dyDescent="0.15">
      <c r="A999" s="187" t="s">
        <v>664</v>
      </c>
      <c r="B999" s="187" t="s">
        <v>2095</v>
      </c>
      <c r="C999" s="187" t="s">
        <v>1467</v>
      </c>
      <c r="D999" s="187" t="s">
        <v>2096</v>
      </c>
      <c r="E999" s="187" t="s">
        <v>205</v>
      </c>
      <c r="F999" s="188"/>
      <c r="G999" s="18"/>
      <c r="H999" s="18">
        <v>353850</v>
      </c>
      <c r="I999" s="189"/>
      <c r="J999" s="189">
        <f>353850-H999</f>
        <v>0</v>
      </c>
      <c r="K999" s="189">
        <f t="shared" si="83"/>
        <v>0</v>
      </c>
      <c r="L999" s="190" t="s">
        <v>551</v>
      </c>
    </row>
    <row r="1000" spans="1:12" s="180" customFormat="1" ht="8.65" customHeight="1" x14ac:dyDescent="0.15">
      <c r="A1000" s="187" t="s">
        <v>664</v>
      </c>
      <c r="B1000" s="187" t="s">
        <v>2097</v>
      </c>
      <c r="C1000" s="187" t="s">
        <v>707</v>
      </c>
      <c r="D1000" s="187" t="s">
        <v>2098</v>
      </c>
      <c r="E1000" s="187" t="s">
        <v>205</v>
      </c>
      <c r="F1000" s="188"/>
      <c r="G1000" s="18"/>
      <c r="H1000" s="18"/>
      <c r="I1000" s="189"/>
      <c r="J1000" s="189">
        <v>84000</v>
      </c>
      <c r="K1000" s="189">
        <f t="shared" si="83"/>
        <v>84000</v>
      </c>
      <c r="L1000" s="190" t="s">
        <v>551</v>
      </c>
    </row>
    <row r="1001" spans="1:12" s="180" customFormat="1" ht="8.65" customHeight="1" x14ac:dyDescent="0.15">
      <c r="A1001" s="187" t="s">
        <v>664</v>
      </c>
      <c r="B1001" s="187" t="s">
        <v>2099</v>
      </c>
      <c r="C1001" s="187" t="s">
        <v>707</v>
      </c>
      <c r="D1001" s="187" t="s">
        <v>2100</v>
      </c>
      <c r="E1001" s="187" t="s">
        <v>205</v>
      </c>
      <c r="F1001" s="188"/>
      <c r="G1001" s="18"/>
      <c r="H1001" s="18">
        <v>8720</v>
      </c>
      <c r="I1001" s="189"/>
      <c r="J1001" s="189">
        <f>33600-H1001</f>
        <v>24880</v>
      </c>
      <c r="K1001" s="189">
        <f t="shared" si="83"/>
        <v>24880</v>
      </c>
      <c r="L1001" s="190" t="s">
        <v>551</v>
      </c>
    </row>
    <row r="1002" spans="1:12" s="180" customFormat="1" ht="8.65" customHeight="1" x14ac:dyDescent="0.15">
      <c r="A1002" s="187" t="s">
        <v>664</v>
      </c>
      <c r="B1002" s="187" t="s">
        <v>2101</v>
      </c>
      <c r="C1002" s="187" t="s">
        <v>707</v>
      </c>
      <c r="D1002" s="187" t="s">
        <v>2102</v>
      </c>
      <c r="E1002" s="187" t="s">
        <v>205</v>
      </c>
      <c r="F1002" s="188"/>
      <c r="G1002" s="18"/>
      <c r="H1002" s="18">
        <v>39000</v>
      </c>
      <c r="I1002" s="189"/>
      <c r="J1002" s="189">
        <f>400000-H1002</f>
        <v>361000</v>
      </c>
      <c r="K1002" s="189">
        <f t="shared" si="83"/>
        <v>361000</v>
      </c>
      <c r="L1002" s="190" t="s">
        <v>551</v>
      </c>
    </row>
    <row r="1003" spans="1:12" s="180" customFormat="1" ht="8.65" customHeight="1" x14ac:dyDescent="0.15">
      <c r="A1003" s="187" t="s">
        <v>664</v>
      </c>
      <c r="B1003" s="187" t="s">
        <v>2103</v>
      </c>
      <c r="C1003" s="187" t="s">
        <v>707</v>
      </c>
      <c r="D1003" s="187" t="s">
        <v>2104</v>
      </c>
      <c r="E1003" s="187" t="s">
        <v>205</v>
      </c>
      <c r="F1003" s="188"/>
      <c r="G1003" s="18"/>
      <c r="H1003" s="18">
        <v>8175</v>
      </c>
      <c r="I1003" s="189"/>
      <c r="J1003" s="189">
        <f>31500-H1003</f>
        <v>23325</v>
      </c>
      <c r="K1003" s="189">
        <f t="shared" si="83"/>
        <v>23325</v>
      </c>
      <c r="L1003" s="190" t="s">
        <v>551</v>
      </c>
    </row>
    <row r="1004" spans="1:12" s="180" customFormat="1" ht="8.65" customHeight="1" x14ac:dyDescent="0.15">
      <c r="A1004" s="187" t="s">
        <v>664</v>
      </c>
      <c r="B1004" s="187" t="s">
        <v>2105</v>
      </c>
      <c r="C1004" s="187" t="s">
        <v>714</v>
      </c>
      <c r="D1004" s="187" t="s">
        <v>2106</v>
      </c>
      <c r="E1004" s="187" t="s">
        <v>205</v>
      </c>
      <c r="F1004" s="188"/>
      <c r="G1004" s="18"/>
      <c r="H1004" s="18"/>
      <c r="I1004" s="189"/>
      <c r="J1004" s="189">
        <v>10500</v>
      </c>
      <c r="K1004" s="189">
        <f t="shared" si="83"/>
        <v>10500</v>
      </c>
      <c r="L1004" s="190" t="s">
        <v>551</v>
      </c>
    </row>
    <row r="1005" spans="1:12" s="180" customFormat="1" ht="8.65" customHeight="1" x14ac:dyDescent="0.15">
      <c r="A1005" s="187" t="s">
        <v>664</v>
      </c>
      <c r="B1005" s="187" t="s">
        <v>2107</v>
      </c>
      <c r="C1005" s="187" t="s">
        <v>714</v>
      </c>
      <c r="D1005" s="187" t="s">
        <v>2108</v>
      </c>
      <c r="E1005" s="187" t="s">
        <v>205</v>
      </c>
      <c r="F1005" s="188"/>
      <c r="G1005" s="18"/>
      <c r="H1005" s="18"/>
      <c r="I1005" s="189"/>
      <c r="J1005" s="189">
        <v>3150</v>
      </c>
      <c r="K1005" s="189">
        <f t="shared" si="83"/>
        <v>3150</v>
      </c>
      <c r="L1005" s="190" t="s">
        <v>551</v>
      </c>
    </row>
    <row r="1006" spans="1:12" s="180" customFormat="1" ht="8.65" customHeight="1" x14ac:dyDescent="0.15">
      <c r="A1006" s="187" t="s">
        <v>664</v>
      </c>
      <c r="B1006" s="187" t="s">
        <v>2109</v>
      </c>
      <c r="C1006" s="187" t="s">
        <v>714</v>
      </c>
      <c r="D1006" s="187" t="s">
        <v>1228</v>
      </c>
      <c r="E1006" s="187" t="s">
        <v>205</v>
      </c>
      <c r="F1006" s="188"/>
      <c r="G1006" s="18"/>
      <c r="H1006" s="18">
        <v>103950</v>
      </c>
      <c r="I1006" s="189"/>
      <c r="J1006" s="189">
        <f>103950-H1006</f>
        <v>0</v>
      </c>
      <c r="K1006" s="189">
        <f t="shared" si="83"/>
        <v>0</v>
      </c>
      <c r="L1006" s="190" t="s">
        <v>551</v>
      </c>
    </row>
    <row r="1007" spans="1:12" s="180" customFormat="1" ht="8.65" customHeight="1" x14ac:dyDescent="0.15">
      <c r="A1007" s="187" t="s">
        <v>664</v>
      </c>
      <c r="B1007" s="187" t="s">
        <v>2110</v>
      </c>
      <c r="C1007" s="187" t="s">
        <v>714</v>
      </c>
      <c r="D1007" s="187" t="s">
        <v>2111</v>
      </c>
      <c r="E1007" s="187" t="s">
        <v>205</v>
      </c>
      <c r="F1007" s="188"/>
      <c r="G1007" s="18"/>
      <c r="H1007" s="18"/>
      <c r="I1007" s="189"/>
      <c r="J1007" s="189">
        <v>115000</v>
      </c>
      <c r="K1007" s="189">
        <f t="shared" si="83"/>
        <v>115000</v>
      </c>
      <c r="L1007" s="190" t="s">
        <v>551</v>
      </c>
    </row>
    <row r="1008" spans="1:12" s="180" customFormat="1" ht="8.65" customHeight="1" x14ac:dyDescent="0.15">
      <c r="A1008" s="187" t="s">
        <v>664</v>
      </c>
      <c r="B1008" s="187" t="s">
        <v>899</v>
      </c>
      <c r="C1008" s="187" t="s">
        <v>714</v>
      </c>
      <c r="D1008" s="187" t="s">
        <v>900</v>
      </c>
      <c r="E1008" s="187" t="s">
        <v>205</v>
      </c>
      <c r="F1008" s="188"/>
      <c r="G1008" s="18"/>
      <c r="H1008" s="18"/>
      <c r="I1008" s="189"/>
      <c r="J1008" s="189">
        <v>47250</v>
      </c>
      <c r="K1008" s="189">
        <f t="shared" si="83"/>
        <v>47250</v>
      </c>
      <c r="L1008" s="190" t="s">
        <v>551</v>
      </c>
    </row>
    <row r="1009" spans="1:17" s="180" customFormat="1" ht="8.65" customHeight="1" x14ac:dyDescent="0.15">
      <c r="A1009" s="187" t="s">
        <v>664</v>
      </c>
      <c r="B1009" s="187" t="s">
        <v>2112</v>
      </c>
      <c r="C1009" s="187" t="s">
        <v>714</v>
      </c>
      <c r="D1009" s="187" t="s">
        <v>2113</v>
      </c>
      <c r="E1009" s="187" t="s">
        <v>205</v>
      </c>
      <c r="F1009" s="188"/>
      <c r="G1009" s="18"/>
      <c r="H1009" s="18"/>
      <c r="I1009" s="189"/>
      <c r="J1009" s="189">
        <v>268000</v>
      </c>
      <c r="K1009" s="189">
        <f t="shared" si="83"/>
        <v>268000</v>
      </c>
      <c r="L1009" s="190" t="s">
        <v>551</v>
      </c>
    </row>
    <row r="1010" spans="1:17" s="180" customFormat="1" ht="8.65" customHeight="1" x14ac:dyDescent="0.15">
      <c r="A1010" s="187" t="s">
        <v>664</v>
      </c>
      <c r="B1010" s="187" t="s">
        <v>716</v>
      </c>
      <c r="C1010" s="187" t="s">
        <v>717</v>
      </c>
      <c r="D1010" s="187" t="s">
        <v>2114</v>
      </c>
      <c r="E1010" s="187" t="s">
        <v>205</v>
      </c>
      <c r="F1010" s="188"/>
      <c r="G1010" s="18"/>
      <c r="H1010" s="18">
        <v>52500</v>
      </c>
      <c r="I1010" s="189"/>
      <c r="J1010" s="189">
        <f>52500-H1010</f>
        <v>0</v>
      </c>
      <c r="K1010" s="189">
        <f t="shared" si="83"/>
        <v>0</v>
      </c>
      <c r="L1010" s="190" t="s">
        <v>551</v>
      </c>
    </row>
    <row r="1011" spans="1:17" s="180" customFormat="1" ht="8.65" customHeight="1" x14ac:dyDescent="0.15">
      <c r="A1011" s="187" t="s">
        <v>664</v>
      </c>
      <c r="B1011" s="187" t="s">
        <v>1378</v>
      </c>
      <c r="C1011" s="187" t="s">
        <v>714</v>
      </c>
      <c r="D1011" s="187" t="s">
        <v>1379</v>
      </c>
      <c r="E1011" s="187" t="s">
        <v>205</v>
      </c>
      <c r="F1011" s="188"/>
      <c r="G1011" s="18"/>
      <c r="H1011" s="18"/>
      <c r="I1011" s="189"/>
      <c r="J1011" s="189">
        <v>25000</v>
      </c>
      <c r="K1011" s="189">
        <f t="shared" si="83"/>
        <v>25000</v>
      </c>
      <c r="L1011" s="190" t="s">
        <v>551</v>
      </c>
    </row>
    <row r="1012" spans="1:17" s="180" customFormat="1" ht="8.65" customHeight="1" x14ac:dyDescent="0.15">
      <c r="A1012" s="187" t="s">
        <v>664</v>
      </c>
      <c r="B1012" s="187" t="s">
        <v>2115</v>
      </c>
      <c r="C1012" s="187" t="s">
        <v>717</v>
      </c>
      <c r="D1012" s="187" t="s">
        <v>2116</v>
      </c>
      <c r="E1012" s="187" t="s">
        <v>205</v>
      </c>
      <c r="F1012" s="188"/>
      <c r="G1012" s="18"/>
      <c r="H1012" s="18">
        <v>31500</v>
      </c>
      <c r="I1012" s="189"/>
      <c r="J1012" s="189">
        <f>31500-H$1012</f>
        <v>0</v>
      </c>
      <c r="K1012" s="189">
        <f t="shared" si="83"/>
        <v>0</v>
      </c>
      <c r="L1012" s="190" t="s">
        <v>551</v>
      </c>
    </row>
    <row r="1013" spans="1:17" s="180" customFormat="1" ht="8.65" customHeight="1" x14ac:dyDescent="0.15">
      <c r="A1013" s="187" t="s">
        <v>664</v>
      </c>
      <c r="B1013" s="187" t="s">
        <v>1187</v>
      </c>
      <c r="C1013" s="187" t="s">
        <v>769</v>
      </c>
      <c r="D1013" s="187" t="s">
        <v>1188</v>
      </c>
      <c r="E1013" s="187" t="s">
        <v>205</v>
      </c>
      <c r="F1013" s="188"/>
      <c r="G1013" s="18"/>
      <c r="H1013" s="18">
        <v>1233200</v>
      </c>
      <c r="I1013" s="189"/>
      <c r="J1013" s="189">
        <f t="shared" ref="J1013:J1014" si="85">31500-H$1012</f>
        <v>0</v>
      </c>
      <c r="K1013" s="189">
        <f t="shared" si="83"/>
        <v>0</v>
      </c>
      <c r="L1013" s="190" t="s">
        <v>551</v>
      </c>
    </row>
    <row r="1014" spans="1:17" s="180" customFormat="1" ht="8.65" customHeight="1" x14ac:dyDescent="0.15">
      <c r="A1014" s="187" t="s">
        <v>664</v>
      </c>
      <c r="B1014" s="187" t="s">
        <v>722</v>
      </c>
      <c r="C1014" s="187" t="s">
        <v>720</v>
      </c>
      <c r="D1014" s="187" t="s">
        <v>723</v>
      </c>
      <c r="E1014" s="187" t="s">
        <v>205</v>
      </c>
      <c r="F1014" s="188"/>
      <c r="G1014" s="18"/>
      <c r="H1014" s="18">
        <v>431500</v>
      </c>
      <c r="I1014" s="189"/>
      <c r="J1014" s="189">
        <f t="shared" si="85"/>
        <v>0</v>
      </c>
      <c r="K1014" s="189">
        <f t="shared" si="83"/>
        <v>0</v>
      </c>
      <c r="L1014" s="190" t="s">
        <v>551</v>
      </c>
    </row>
    <row r="1015" spans="1:17" s="180" customFormat="1" ht="8.65" customHeight="1" x14ac:dyDescent="0.15">
      <c r="A1015" s="187" t="s">
        <v>664</v>
      </c>
      <c r="B1015" s="187" t="s">
        <v>724</v>
      </c>
      <c r="C1015" s="187" t="s">
        <v>707</v>
      </c>
      <c r="D1015" s="187" t="s">
        <v>1283</v>
      </c>
      <c r="E1015" s="187" t="s">
        <v>205</v>
      </c>
      <c r="F1015" s="188"/>
      <c r="G1015" s="18">
        <v>19067</v>
      </c>
      <c r="H1015" s="18"/>
      <c r="I1015" s="189"/>
      <c r="J1015" s="189">
        <f>117600+G1015</f>
        <v>136667</v>
      </c>
      <c r="K1015" s="189">
        <f t="shared" si="83"/>
        <v>136667</v>
      </c>
      <c r="L1015" s="190" t="s">
        <v>551</v>
      </c>
    </row>
    <row r="1016" spans="1:17" s="180" customFormat="1" ht="8.65" customHeight="1" x14ac:dyDescent="0.15">
      <c r="A1016" s="187" t="s">
        <v>664</v>
      </c>
      <c r="B1016" s="187" t="s">
        <v>830</v>
      </c>
      <c r="C1016" s="187" t="s">
        <v>683</v>
      </c>
      <c r="D1016" s="187" t="s">
        <v>831</v>
      </c>
      <c r="E1016" s="187" t="s">
        <v>205</v>
      </c>
      <c r="F1016" s="188"/>
      <c r="G1016" s="18"/>
      <c r="H1016" s="18">
        <v>8400</v>
      </c>
      <c r="I1016" s="189"/>
      <c r="J1016" s="189">
        <f>8400-H1016</f>
        <v>0</v>
      </c>
      <c r="K1016" s="189">
        <f t="shared" si="83"/>
        <v>0</v>
      </c>
      <c r="L1016" s="190" t="s">
        <v>551</v>
      </c>
    </row>
    <row r="1017" spans="1:17" s="180" customFormat="1" ht="10.15" customHeight="1" x14ac:dyDescent="0.15">
      <c r="A1017" s="270" t="s">
        <v>246</v>
      </c>
      <c r="B1017" s="270"/>
      <c r="C1017" s="270"/>
      <c r="D1017" s="270"/>
      <c r="E1017" s="270"/>
      <c r="F1017" s="270"/>
      <c r="G1017" s="191"/>
      <c r="H1017" s="191"/>
      <c r="I1017" s="192">
        <f>SUM(I631:I1016)</f>
        <v>27979933.100000005</v>
      </c>
      <c r="J1017" s="192">
        <f>SUM(J631:J1016)</f>
        <v>44602619.179999992</v>
      </c>
      <c r="K1017" s="192">
        <f>SUM(K631:K1016)</f>
        <v>16622686.080000006</v>
      </c>
      <c r="L1017" s="193"/>
    </row>
    <row r="1018" spans="1:17" s="211" customFormat="1" ht="10.15" customHeight="1" x14ac:dyDescent="0.15">
      <c r="A1018" s="233"/>
      <c r="B1018" s="233"/>
      <c r="C1018" s="233"/>
      <c r="D1018" s="233"/>
      <c r="E1018" s="233"/>
      <c r="F1018" s="233"/>
      <c r="G1018" s="233"/>
      <c r="H1018" s="234"/>
      <c r="I1018" s="235"/>
      <c r="J1018" s="235"/>
      <c r="K1018" s="235"/>
      <c r="L1018" s="233"/>
      <c r="M1018" s="233"/>
      <c r="N1018" s="233"/>
      <c r="O1018" s="233"/>
      <c r="P1018" s="233"/>
      <c r="Q1018" s="233"/>
    </row>
    <row r="1019" spans="1:17" s="180" customFormat="1" ht="10.15" customHeight="1" x14ac:dyDescent="0.2">
      <c r="A1019" s="187" t="s">
        <v>1226</v>
      </c>
      <c r="B1019" s="187" t="s">
        <v>2117</v>
      </c>
      <c r="C1019" s="187" t="s">
        <v>769</v>
      </c>
      <c r="D1019" s="187" t="s">
        <v>2118</v>
      </c>
      <c r="E1019" s="187" t="s">
        <v>263</v>
      </c>
      <c r="F1019" s="187" t="s">
        <v>264</v>
      </c>
      <c r="G1019" s="221"/>
      <c r="H1019" s="18">
        <v>1200000</v>
      </c>
      <c r="I1019" s="189">
        <v>1033950</v>
      </c>
      <c r="J1019" s="189">
        <v>1200000</v>
      </c>
      <c r="K1019" s="189">
        <f>+J1019-I1019</f>
        <v>166050</v>
      </c>
      <c r="L1019" s="190" t="s">
        <v>551</v>
      </c>
    </row>
    <row r="1020" spans="1:17" s="180" customFormat="1" ht="9" customHeight="1" x14ac:dyDescent="0.2">
      <c r="A1020" s="187" t="s">
        <v>1226</v>
      </c>
      <c r="B1020" s="187" t="s">
        <v>1841</v>
      </c>
      <c r="C1020" s="187" t="s">
        <v>769</v>
      </c>
      <c r="D1020" s="187" t="s">
        <v>1842</v>
      </c>
      <c r="E1020" s="187" t="s">
        <v>263</v>
      </c>
      <c r="F1020" s="188"/>
      <c r="G1020" s="221"/>
      <c r="H1020" s="18">
        <v>418000</v>
      </c>
      <c r="I1020" s="189">
        <v>333350</v>
      </c>
      <c r="J1020" s="189">
        <v>418000</v>
      </c>
      <c r="K1020" s="189">
        <f>+J1020-I1020</f>
        <v>84650</v>
      </c>
      <c r="L1020" s="190" t="s">
        <v>551</v>
      </c>
    </row>
    <row r="1021" spans="1:17" s="180" customFormat="1" ht="9" customHeight="1" x14ac:dyDescent="0.2">
      <c r="A1021" s="187" t="s">
        <v>1226</v>
      </c>
      <c r="B1021" s="187" t="s">
        <v>1843</v>
      </c>
      <c r="C1021" s="187" t="s">
        <v>769</v>
      </c>
      <c r="D1021" s="187" t="s">
        <v>1844</v>
      </c>
      <c r="E1021" s="187" t="s">
        <v>263</v>
      </c>
      <c r="F1021" s="188"/>
      <c r="G1021" s="221"/>
      <c r="H1021" s="18"/>
      <c r="I1021" s="189">
        <v>462735</v>
      </c>
      <c r="J1021" s="189">
        <v>545000</v>
      </c>
      <c r="K1021" s="189">
        <f>+J1021-I1021</f>
        <v>82265</v>
      </c>
      <c r="L1021" s="190" t="s">
        <v>551</v>
      </c>
    </row>
    <row r="1022" spans="1:17" s="180" customFormat="1" ht="12" customHeight="1" x14ac:dyDescent="0.2">
      <c r="A1022" s="187" t="s">
        <v>1226</v>
      </c>
      <c r="B1022" s="187" t="s">
        <v>1845</v>
      </c>
      <c r="C1022" s="187" t="s">
        <v>769</v>
      </c>
      <c r="D1022" s="187" t="s">
        <v>1846</v>
      </c>
      <c r="E1022" s="187" t="s">
        <v>263</v>
      </c>
      <c r="F1022" s="188"/>
      <c r="G1022" s="221"/>
      <c r="H1022" s="18">
        <v>928000</v>
      </c>
      <c r="I1022" s="189">
        <v>733370</v>
      </c>
      <c r="J1022" s="189">
        <v>928000</v>
      </c>
      <c r="K1022" s="189">
        <f>+J1022-I1022</f>
        <v>194630</v>
      </c>
      <c r="L1022" s="190" t="s">
        <v>551</v>
      </c>
    </row>
    <row r="1023" spans="1:17" s="180" customFormat="1" ht="11.45" customHeight="1" x14ac:dyDescent="0.2">
      <c r="A1023" s="187" t="s">
        <v>1226</v>
      </c>
      <c r="B1023" s="187" t="s">
        <v>1847</v>
      </c>
      <c r="C1023" s="187" t="s">
        <v>769</v>
      </c>
      <c r="D1023" s="187" t="s">
        <v>1848</v>
      </c>
      <c r="E1023" s="187" t="s">
        <v>263</v>
      </c>
      <c r="F1023" s="188"/>
      <c r="G1023" s="221"/>
      <c r="H1023" s="18">
        <v>940000</v>
      </c>
      <c r="I1023" s="189">
        <v>758230</v>
      </c>
      <c r="J1023" s="189">
        <v>940000</v>
      </c>
      <c r="K1023" s="189">
        <f>+J1023-I1023</f>
        <v>181770</v>
      </c>
      <c r="L1023" s="190" t="s">
        <v>551</v>
      </c>
    </row>
    <row r="1024" spans="1:17" s="180" customFormat="1" ht="10.9" customHeight="1" x14ac:dyDescent="0.15">
      <c r="A1024" s="270" t="s">
        <v>278</v>
      </c>
      <c r="B1024" s="270"/>
      <c r="C1024" s="270"/>
      <c r="D1024" s="270"/>
      <c r="E1024" s="270"/>
      <c r="F1024" s="270"/>
      <c r="G1024" s="236"/>
      <c r="H1024" s="201"/>
      <c r="I1024" s="237">
        <f>SUM(I1019:I1023)</f>
        <v>3321635</v>
      </c>
      <c r="J1024" s="192">
        <f>SUM(J1019:J1023)</f>
        <v>4031000</v>
      </c>
      <c r="K1024" s="237">
        <f>SUM(K1019:K1023)</f>
        <v>709365</v>
      </c>
      <c r="L1024" s="238"/>
    </row>
    <row r="1025" spans="1:25" s="211" customFormat="1" ht="4.1500000000000004" customHeight="1" x14ac:dyDescent="0.15">
      <c r="A1025" s="194"/>
      <c r="B1025" s="194"/>
      <c r="C1025" s="194"/>
      <c r="D1025" s="194"/>
      <c r="E1025" s="194"/>
      <c r="F1025" s="194"/>
      <c r="G1025" s="194"/>
      <c r="H1025" s="195"/>
      <c r="I1025" s="196"/>
      <c r="J1025" s="196"/>
      <c r="K1025" s="196"/>
      <c r="L1025" s="194"/>
      <c r="M1025" s="180"/>
      <c r="N1025" s="180"/>
      <c r="O1025" s="180"/>
      <c r="P1025" s="180"/>
      <c r="Q1025" s="180"/>
      <c r="R1025" s="180"/>
      <c r="S1025" s="180"/>
      <c r="T1025" s="180"/>
      <c r="U1025" s="180"/>
      <c r="V1025" s="180"/>
      <c r="W1025" s="180"/>
      <c r="X1025" s="180"/>
      <c r="Y1025" s="180"/>
    </row>
    <row r="1026" spans="1:25" s="211" customFormat="1" ht="11.25" x14ac:dyDescent="0.15">
      <c r="A1026" s="187" t="s">
        <v>5</v>
      </c>
      <c r="B1026" s="187" t="s">
        <v>2119</v>
      </c>
      <c r="C1026" s="187" t="s">
        <v>676</v>
      </c>
      <c r="D1026" s="187" t="s">
        <v>2120</v>
      </c>
      <c r="E1026" s="187" t="s">
        <v>290</v>
      </c>
      <c r="F1026" s="187" t="s">
        <v>465</v>
      </c>
      <c r="G1026" s="239"/>
      <c r="H1026" s="61"/>
      <c r="I1026" s="189">
        <v>23900</v>
      </c>
      <c r="J1026" s="189">
        <v>25482</v>
      </c>
      <c r="K1026" s="189">
        <f t="shared" ref="K1026:K1057" si="86">+J1026-I1026</f>
        <v>1582</v>
      </c>
      <c r="L1026" s="190" t="s">
        <v>551</v>
      </c>
      <c r="M1026" s="180"/>
      <c r="N1026" s="180"/>
      <c r="O1026" s="180"/>
      <c r="P1026" s="180"/>
      <c r="Q1026" s="180"/>
      <c r="R1026" s="180"/>
      <c r="S1026" s="180"/>
      <c r="T1026" s="180"/>
      <c r="U1026" s="180"/>
      <c r="V1026" s="180"/>
      <c r="W1026" s="180"/>
      <c r="X1026" s="180"/>
      <c r="Y1026" s="180"/>
    </row>
    <row r="1027" spans="1:25" s="180" customFormat="1" ht="8.4499999999999993" customHeight="1" x14ac:dyDescent="0.15">
      <c r="A1027" s="187" t="s">
        <v>664</v>
      </c>
      <c r="B1027" s="187" t="s">
        <v>665</v>
      </c>
      <c r="C1027" s="187" t="s">
        <v>666</v>
      </c>
      <c r="D1027" s="187" t="s">
        <v>667</v>
      </c>
      <c r="E1027" s="187" t="s">
        <v>290</v>
      </c>
      <c r="F1027" s="188"/>
      <c r="G1027" s="18"/>
      <c r="H1027" s="18">
        <v>112396</v>
      </c>
      <c r="I1027" s="189"/>
      <c r="J1027" s="189">
        <f>150000-H1027</f>
        <v>37604</v>
      </c>
      <c r="K1027" s="189">
        <f t="shared" si="86"/>
        <v>37604</v>
      </c>
      <c r="L1027" s="190" t="s">
        <v>551</v>
      </c>
    </row>
    <row r="1028" spans="1:25" s="180" customFormat="1" ht="8.65" customHeight="1" x14ac:dyDescent="0.15">
      <c r="A1028" s="187" t="s">
        <v>664</v>
      </c>
      <c r="B1028" s="187" t="s">
        <v>764</v>
      </c>
      <c r="C1028" s="187" t="s">
        <v>666</v>
      </c>
      <c r="D1028" s="187" t="s">
        <v>765</v>
      </c>
      <c r="E1028" s="187" t="s">
        <v>290</v>
      </c>
      <c r="F1028" s="188"/>
      <c r="G1028" s="18"/>
      <c r="H1028" s="18">
        <v>7500</v>
      </c>
      <c r="I1028" s="189"/>
      <c r="J1028" s="189">
        <f>7500-H1028</f>
        <v>0</v>
      </c>
      <c r="K1028" s="189">
        <f t="shared" si="86"/>
        <v>0</v>
      </c>
      <c r="L1028" s="190" t="s">
        <v>551</v>
      </c>
    </row>
    <row r="1029" spans="1:25" s="180" customFormat="1" ht="8.65" customHeight="1" x14ac:dyDescent="0.15">
      <c r="A1029" s="187" t="s">
        <v>664</v>
      </c>
      <c r="B1029" s="187" t="s">
        <v>728</v>
      </c>
      <c r="C1029" s="187" t="s">
        <v>666</v>
      </c>
      <c r="D1029" s="187" t="s">
        <v>729</v>
      </c>
      <c r="E1029" s="187" t="s">
        <v>290</v>
      </c>
      <c r="F1029" s="188"/>
      <c r="G1029" s="18"/>
      <c r="H1029" s="18"/>
      <c r="I1029" s="189"/>
      <c r="J1029" s="189">
        <v>28236</v>
      </c>
      <c r="K1029" s="189">
        <f t="shared" si="86"/>
        <v>28236</v>
      </c>
      <c r="L1029" s="190" t="s">
        <v>551</v>
      </c>
    </row>
    <row r="1030" spans="1:25" s="180" customFormat="1" ht="8.65" customHeight="1" x14ac:dyDescent="0.15">
      <c r="A1030" s="187" t="s">
        <v>664</v>
      </c>
      <c r="B1030" s="187" t="s">
        <v>670</v>
      </c>
      <c r="C1030" s="187" t="s">
        <v>666</v>
      </c>
      <c r="D1030" s="187" t="s">
        <v>671</v>
      </c>
      <c r="E1030" s="187" t="s">
        <v>290</v>
      </c>
      <c r="F1030" s="188"/>
      <c r="G1030" s="18"/>
      <c r="H1030" s="18">
        <v>40000</v>
      </c>
      <c r="I1030" s="189"/>
      <c r="J1030" s="189">
        <f>40000-H1030</f>
        <v>0</v>
      </c>
      <c r="K1030" s="189">
        <f t="shared" si="86"/>
        <v>0</v>
      </c>
      <c r="L1030" s="190" t="s">
        <v>551</v>
      </c>
    </row>
    <row r="1031" spans="1:25" s="180" customFormat="1" ht="8.65" customHeight="1" x14ac:dyDescent="0.15">
      <c r="A1031" s="187" t="s">
        <v>664</v>
      </c>
      <c r="B1031" s="187" t="s">
        <v>2121</v>
      </c>
      <c r="C1031" s="187" t="s">
        <v>942</v>
      </c>
      <c r="D1031" s="187" t="s">
        <v>2122</v>
      </c>
      <c r="E1031" s="187" t="s">
        <v>290</v>
      </c>
      <c r="F1031" s="188"/>
      <c r="G1031" s="18"/>
      <c r="H1031" s="18">
        <v>12000</v>
      </c>
      <c r="I1031" s="189"/>
      <c r="J1031" s="189">
        <f>12000-H1031</f>
        <v>0</v>
      </c>
      <c r="K1031" s="189">
        <f t="shared" si="86"/>
        <v>0</v>
      </c>
      <c r="L1031" s="190" t="s">
        <v>551</v>
      </c>
    </row>
    <row r="1032" spans="1:25" s="180" customFormat="1" ht="8.65" customHeight="1" x14ac:dyDescent="0.15">
      <c r="A1032" s="187" t="s">
        <v>664</v>
      </c>
      <c r="B1032" s="187" t="s">
        <v>680</v>
      </c>
      <c r="C1032" s="187" t="s">
        <v>676</v>
      </c>
      <c r="D1032" s="187" t="s">
        <v>681</v>
      </c>
      <c r="E1032" s="187" t="s">
        <v>290</v>
      </c>
      <c r="F1032" s="188"/>
      <c r="G1032" s="18"/>
      <c r="H1032" s="18">
        <v>12500</v>
      </c>
      <c r="I1032" s="189"/>
      <c r="J1032" s="189">
        <f>12500-H1032</f>
        <v>0</v>
      </c>
      <c r="K1032" s="189">
        <f t="shared" si="86"/>
        <v>0</v>
      </c>
      <c r="L1032" s="190" t="s">
        <v>551</v>
      </c>
    </row>
    <row r="1033" spans="1:25" s="180" customFormat="1" ht="8.65" customHeight="1" x14ac:dyDescent="0.15">
      <c r="A1033" s="187" t="s">
        <v>664</v>
      </c>
      <c r="B1033" s="187" t="s">
        <v>685</v>
      </c>
      <c r="C1033" s="187" t="s">
        <v>683</v>
      </c>
      <c r="D1033" s="187" t="s">
        <v>686</v>
      </c>
      <c r="E1033" s="187" t="s">
        <v>290</v>
      </c>
      <c r="F1033" s="188"/>
      <c r="G1033" s="18"/>
      <c r="H1033" s="18">
        <v>3000</v>
      </c>
      <c r="I1033" s="189"/>
      <c r="J1033" s="189">
        <f>3000-H1033</f>
        <v>0</v>
      </c>
      <c r="K1033" s="189">
        <f t="shared" si="86"/>
        <v>0</v>
      </c>
      <c r="L1033" s="190" t="s">
        <v>551</v>
      </c>
    </row>
    <row r="1034" spans="1:25" s="180" customFormat="1" ht="8.65" customHeight="1" x14ac:dyDescent="0.15">
      <c r="A1034" s="187" t="s">
        <v>664</v>
      </c>
      <c r="B1034" s="187" t="s">
        <v>2123</v>
      </c>
      <c r="C1034" s="187" t="s">
        <v>714</v>
      </c>
      <c r="D1034" s="187" t="s">
        <v>2124</v>
      </c>
      <c r="E1034" s="187" t="s">
        <v>290</v>
      </c>
      <c r="F1034" s="188"/>
      <c r="G1034" s="18"/>
      <c r="H1034" s="18"/>
      <c r="I1034" s="189">
        <v>16619.38</v>
      </c>
      <c r="J1034" s="189">
        <v>16900</v>
      </c>
      <c r="K1034" s="189">
        <f t="shared" si="86"/>
        <v>280.61999999999898</v>
      </c>
      <c r="L1034" s="190" t="s">
        <v>551</v>
      </c>
    </row>
    <row r="1035" spans="1:25" s="180" customFormat="1" ht="8.65" customHeight="1" x14ac:dyDescent="0.15">
      <c r="A1035" s="187" t="s">
        <v>664</v>
      </c>
      <c r="B1035" s="187" t="s">
        <v>2125</v>
      </c>
      <c r="C1035" s="187" t="s">
        <v>714</v>
      </c>
      <c r="D1035" s="187" t="s">
        <v>2126</v>
      </c>
      <c r="E1035" s="187" t="s">
        <v>290</v>
      </c>
      <c r="F1035" s="188"/>
      <c r="G1035" s="18"/>
      <c r="H1035" s="18"/>
      <c r="I1035" s="189">
        <v>11477.18</v>
      </c>
      <c r="J1035" s="189">
        <v>11600</v>
      </c>
      <c r="K1035" s="189">
        <f t="shared" si="86"/>
        <v>122.81999999999971</v>
      </c>
      <c r="L1035" s="190" t="s">
        <v>551</v>
      </c>
    </row>
    <row r="1036" spans="1:25" s="180" customFormat="1" ht="8.65" customHeight="1" x14ac:dyDescent="0.15">
      <c r="A1036" s="187" t="s">
        <v>664</v>
      </c>
      <c r="B1036" s="187" t="s">
        <v>2127</v>
      </c>
      <c r="C1036" s="187" t="s">
        <v>707</v>
      </c>
      <c r="D1036" s="187" t="s">
        <v>2128</v>
      </c>
      <c r="E1036" s="187" t="s">
        <v>290</v>
      </c>
      <c r="F1036" s="188"/>
      <c r="G1036" s="18"/>
      <c r="H1036" s="18"/>
      <c r="I1036" s="189"/>
      <c r="J1036" s="189">
        <v>0</v>
      </c>
      <c r="K1036" s="189">
        <f t="shared" si="86"/>
        <v>0</v>
      </c>
      <c r="L1036" s="190" t="s">
        <v>551</v>
      </c>
    </row>
    <row r="1037" spans="1:25" s="180" customFormat="1" ht="8.65" customHeight="1" x14ac:dyDescent="0.15">
      <c r="A1037" s="187" t="s">
        <v>664</v>
      </c>
      <c r="B1037" s="187" t="s">
        <v>2129</v>
      </c>
      <c r="C1037" s="187" t="s">
        <v>925</v>
      </c>
      <c r="D1037" s="187" t="s">
        <v>2130</v>
      </c>
      <c r="E1037" s="187" t="s">
        <v>290</v>
      </c>
      <c r="F1037" s="188"/>
      <c r="G1037" s="18"/>
      <c r="H1037" s="18"/>
      <c r="I1037" s="189"/>
      <c r="J1037" s="189">
        <v>0</v>
      </c>
      <c r="K1037" s="189">
        <f t="shared" si="86"/>
        <v>0</v>
      </c>
      <c r="L1037" s="190" t="s">
        <v>551</v>
      </c>
    </row>
    <row r="1038" spans="1:25" s="180" customFormat="1" ht="8.65" customHeight="1" x14ac:dyDescent="0.15">
      <c r="A1038" s="187" t="s">
        <v>664</v>
      </c>
      <c r="B1038" s="187" t="s">
        <v>2129</v>
      </c>
      <c r="C1038" s="187" t="s">
        <v>925</v>
      </c>
      <c r="D1038" s="187" t="s">
        <v>2131</v>
      </c>
      <c r="E1038" s="187" t="s">
        <v>290</v>
      </c>
      <c r="F1038" s="188"/>
      <c r="G1038" s="18"/>
      <c r="H1038" s="18"/>
      <c r="I1038" s="189"/>
      <c r="J1038" s="189">
        <v>0</v>
      </c>
      <c r="K1038" s="189">
        <f t="shared" si="86"/>
        <v>0</v>
      </c>
      <c r="L1038" s="190" t="s">
        <v>551</v>
      </c>
    </row>
    <row r="1039" spans="1:25" s="180" customFormat="1" ht="8.65" customHeight="1" x14ac:dyDescent="0.15">
      <c r="A1039" s="187" t="s">
        <v>664</v>
      </c>
      <c r="B1039" s="187" t="s">
        <v>2132</v>
      </c>
      <c r="C1039" s="187" t="s">
        <v>707</v>
      </c>
      <c r="D1039" s="187" t="s">
        <v>2133</v>
      </c>
      <c r="E1039" s="187" t="s">
        <v>290</v>
      </c>
      <c r="F1039" s="188"/>
      <c r="G1039" s="18"/>
      <c r="H1039" s="18"/>
      <c r="I1039" s="189"/>
      <c r="J1039" s="189">
        <v>0</v>
      </c>
      <c r="K1039" s="189">
        <f t="shared" si="86"/>
        <v>0</v>
      </c>
      <c r="L1039" s="190" t="s">
        <v>551</v>
      </c>
    </row>
    <row r="1040" spans="1:25" s="180" customFormat="1" ht="8.65" customHeight="1" x14ac:dyDescent="0.15">
      <c r="A1040" s="187" t="s">
        <v>664</v>
      </c>
      <c r="B1040" s="187" t="s">
        <v>2132</v>
      </c>
      <c r="C1040" s="187" t="s">
        <v>707</v>
      </c>
      <c r="D1040" s="187" t="s">
        <v>2133</v>
      </c>
      <c r="E1040" s="187" t="s">
        <v>290</v>
      </c>
      <c r="F1040" s="188"/>
      <c r="G1040" s="18"/>
      <c r="H1040" s="18">
        <v>53125</v>
      </c>
      <c r="I1040" s="189">
        <v>98875</v>
      </c>
      <c r="J1040" s="189">
        <f>152000-H1040</f>
        <v>98875</v>
      </c>
      <c r="K1040" s="189">
        <f t="shared" si="86"/>
        <v>0</v>
      </c>
      <c r="L1040" s="190" t="s">
        <v>551</v>
      </c>
    </row>
    <row r="1041" spans="1:12" s="180" customFormat="1" ht="8.65" customHeight="1" x14ac:dyDescent="0.15">
      <c r="A1041" s="187" t="s">
        <v>664</v>
      </c>
      <c r="B1041" s="187" t="s">
        <v>1258</v>
      </c>
      <c r="C1041" s="187" t="s">
        <v>707</v>
      </c>
      <c r="D1041" s="187" t="s">
        <v>1259</v>
      </c>
      <c r="E1041" s="187" t="s">
        <v>290</v>
      </c>
      <c r="F1041" s="188"/>
      <c r="G1041" s="18"/>
      <c r="H1041" s="18">
        <v>24910</v>
      </c>
      <c r="I1041" s="189">
        <v>105090</v>
      </c>
      <c r="J1041" s="189">
        <f>130000-H1041</f>
        <v>105090</v>
      </c>
      <c r="K1041" s="189">
        <f t="shared" si="86"/>
        <v>0</v>
      </c>
      <c r="L1041" s="190" t="s">
        <v>551</v>
      </c>
    </row>
    <row r="1042" spans="1:12" s="180" customFormat="1" ht="8.65" customHeight="1" x14ac:dyDescent="0.15">
      <c r="A1042" s="187" t="s">
        <v>664</v>
      </c>
      <c r="B1042" s="187" t="s">
        <v>2134</v>
      </c>
      <c r="C1042" s="187" t="s">
        <v>683</v>
      </c>
      <c r="D1042" s="187" t="s">
        <v>2135</v>
      </c>
      <c r="E1042" s="187" t="s">
        <v>290</v>
      </c>
      <c r="F1042" s="188"/>
      <c r="G1042" s="18"/>
      <c r="H1042" s="18"/>
      <c r="I1042" s="189"/>
      <c r="J1042" s="189">
        <v>0</v>
      </c>
      <c r="K1042" s="189">
        <f t="shared" si="86"/>
        <v>0</v>
      </c>
      <c r="L1042" s="190" t="s">
        <v>551</v>
      </c>
    </row>
    <row r="1043" spans="1:12" s="180" customFormat="1" ht="8.65" customHeight="1" x14ac:dyDescent="0.15">
      <c r="A1043" s="187" t="s">
        <v>664</v>
      </c>
      <c r="B1043" s="187" t="s">
        <v>1833</v>
      </c>
      <c r="C1043" s="187" t="s">
        <v>769</v>
      </c>
      <c r="D1043" s="187" t="s">
        <v>1834</v>
      </c>
      <c r="E1043" s="187" t="s">
        <v>290</v>
      </c>
      <c r="F1043" s="188"/>
      <c r="G1043" s="18"/>
      <c r="H1043" s="189">
        <v>180000</v>
      </c>
      <c r="I1043" s="188"/>
      <c r="J1043" s="189">
        <f>180000-H1043</f>
        <v>0</v>
      </c>
      <c r="K1043" s="189">
        <f>+J1043-J1043</f>
        <v>0</v>
      </c>
      <c r="L1043" s="190" t="s">
        <v>551</v>
      </c>
    </row>
    <row r="1044" spans="1:12" s="180" customFormat="1" ht="8.65" customHeight="1" x14ac:dyDescent="0.15">
      <c r="A1044" s="187" t="s">
        <v>664</v>
      </c>
      <c r="B1044" s="187" t="s">
        <v>1851</v>
      </c>
      <c r="C1044" s="187" t="s">
        <v>769</v>
      </c>
      <c r="D1044" s="187" t="s">
        <v>2136</v>
      </c>
      <c r="E1044" s="187" t="s">
        <v>290</v>
      </c>
      <c r="F1044" s="188"/>
      <c r="G1044" s="18"/>
      <c r="H1044" s="189">
        <v>27500</v>
      </c>
      <c r="I1044" s="188"/>
      <c r="J1044" s="189">
        <f>27500-H1044</f>
        <v>0</v>
      </c>
      <c r="K1044" s="189">
        <f t="shared" ref="K1044:K1053" si="87">+J1044-J1044</f>
        <v>0</v>
      </c>
      <c r="L1044" s="190" t="s">
        <v>551</v>
      </c>
    </row>
    <row r="1045" spans="1:12" s="180" customFormat="1" ht="8.65" customHeight="1" x14ac:dyDescent="0.15">
      <c r="A1045" s="187" t="s">
        <v>664</v>
      </c>
      <c r="B1045" s="187" t="s">
        <v>906</v>
      </c>
      <c r="C1045" s="187" t="s">
        <v>683</v>
      </c>
      <c r="D1045" s="187" t="s">
        <v>907</v>
      </c>
      <c r="E1045" s="187" t="s">
        <v>290</v>
      </c>
      <c r="F1045" s="188"/>
      <c r="G1045" s="18"/>
      <c r="H1045" s="189">
        <v>14000</v>
      </c>
      <c r="I1045" s="188"/>
      <c r="J1045" s="189">
        <f>14000-H1045</f>
        <v>0</v>
      </c>
      <c r="K1045" s="189">
        <f t="shared" si="87"/>
        <v>0</v>
      </c>
      <c r="L1045" s="190" t="s">
        <v>551</v>
      </c>
    </row>
    <row r="1046" spans="1:12" s="180" customFormat="1" ht="8.65" customHeight="1" x14ac:dyDescent="0.15">
      <c r="A1046" s="187" t="s">
        <v>664</v>
      </c>
      <c r="B1046" s="187" t="s">
        <v>1108</v>
      </c>
      <c r="C1046" s="187" t="s">
        <v>683</v>
      </c>
      <c r="D1046" s="187" t="s">
        <v>1109</v>
      </c>
      <c r="E1046" s="187" t="s">
        <v>290</v>
      </c>
      <c r="F1046" s="188"/>
      <c r="G1046" s="18"/>
      <c r="H1046" s="189">
        <v>37500</v>
      </c>
      <c r="I1046" s="188"/>
      <c r="J1046" s="189">
        <f>37500-H1046</f>
        <v>0</v>
      </c>
      <c r="K1046" s="189">
        <f t="shared" si="87"/>
        <v>0</v>
      </c>
      <c r="L1046" s="190" t="s">
        <v>551</v>
      </c>
    </row>
    <row r="1047" spans="1:12" s="180" customFormat="1" ht="8.65" customHeight="1" x14ac:dyDescent="0.15">
      <c r="A1047" s="187" t="s">
        <v>664</v>
      </c>
      <c r="B1047" s="187" t="s">
        <v>742</v>
      </c>
      <c r="C1047" s="187" t="s">
        <v>683</v>
      </c>
      <c r="D1047" s="187" t="s">
        <v>743</v>
      </c>
      <c r="E1047" s="187" t="s">
        <v>290</v>
      </c>
      <c r="F1047" s="188"/>
      <c r="G1047" s="18"/>
      <c r="H1047" s="189">
        <v>40000</v>
      </c>
      <c r="I1047" s="188"/>
      <c r="J1047" s="189">
        <f>40000-H1047</f>
        <v>0</v>
      </c>
      <c r="K1047" s="189">
        <f t="shared" si="87"/>
        <v>0</v>
      </c>
      <c r="L1047" s="190" t="s">
        <v>551</v>
      </c>
    </row>
    <row r="1048" spans="1:12" s="180" customFormat="1" ht="8.65" customHeight="1" x14ac:dyDescent="0.15">
      <c r="A1048" s="187" t="s">
        <v>664</v>
      </c>
      <c r="B1048" s="187" t="s">
        <v>1119</v>
      </c>
      <c r="C1048" s="187" t="s">
        <v>683</v>
      </c>
      <c r="D1048" s="187" t="s">
        <v>2137</v>
      </c>
      <c r="E1048" s="187" t="s">
        <v>290</v>
      </c>
      <c r="F1048" s="188"/>
      <c r="G1048" s="18"/>
      <c r="H1048" s="189">
        <v>6900</v>
      </c>
      <c r="I1048" s="188"/>
      <c r="J1048" s="189">
        <f>6900-H1048</f>
        <v>0</v>
      </c>
      <c r="K1048" s="189">
        <f t="shared" si="87"/>
        <v>0</v>
      </c>
      <c r="L1048" s="190" t="s">
        <v>551</v>
      </c>
    </row>
    <row r="1049" spans="1:12" s="180" customFormat="1" ht="8.65" customHeight="1" x14ac:dyDescent="0.15">
      <c r="A1049" s="187" t="s">
        <v>664</v>
      </c>
      <c r="B1049" s="187" t="s">
        <v>807</v>
      </c>
      <c r="C1049" s="187" t="s">
        <v>683</v>
      </c>
      <c r="D1049" s="187" t="s">
        <v>808</v>
      </c>
      <c r="E1049" s="187" t="s">
        <v>290</v>
      </c>
      <c r="F1049" s="188"/>
      <c r="G1049" s="18"/>
      <c r="H1049" s="189">
        <v>6900</v>
      </c>
      <c r="I1049" s="188"/>
      <c r="J1049" s="189">
        <f>6900-H1049</f>
        <v>0</v>
      </c>
      <c r="K1049" s="189">
        <f t="shared" si="87"/>
        <v>0</v>
      </c>
      <c r="L1049" s="190" t="s">
        <v>551</v>
      </c>
    </row>
    <row r="1050" spans="1:12" s="180" customFormat="1" ht="8.65" customHeight="1" x14ac:dyDescent="0.15">
      <c r="A1050" s="187" t="s">
        <v>664</v>
      </c>
      <c r="B1050" s="187" t="s">
        <v>987</v>
      </c>
      <c r="C1050" s="187" t="s">
        <v>683</v>
      </c>
      <c r="D1050" s="187" t="s">
        <v>988</v>
      </c>
      <c r="E1050" s="187" t="s">
        <v>290</v>
      </c>
      <c r="F1050" s="188"/>
      <c r="G1050" s="18"/>
      <c r="H1050" s="189">
        <v>6900</v>
      </c>
      <c r="I1050" s="188"/>
      <c r="J1050" s="189">
        <f>6900-H1050</f>
        <v>0</v>
      </c>
      <c r="K1050" s="189">
        <f t="shared" si="87"/>
        <v>0</v>
      </c>
      <c r="L1050" s="190" t="s">
        <v>551</v>
      </c>
    </row>
    <row r="1051" spans="1:12" s="180" customFormat="1" ht="8.65" customHeight="1" x14ac:dyDescent="0.15">
      <c r="A1051" s="187" t="s">
        <v>664</v>
      </c>
      <c r="B1051" s="187" t="s">
        <v>989</v>
      </c>
      <c r="C1051" s="187" t="s">
        <v>683</v>
      </c>
      <c r="D1051" s="187" t="s">
        <v>990</v>
      </c>
      <c r="E1051" s="187" t="s">
        <v>290</v>
      </c>
      <c r="F1051" s="188"/>
      <c r="G1051" s="18"/>
      <c r="H1051" s="189">
        <v>22000</v>
      </c>
      <c r="I1051" s="188"/>
      <c r="J1051" s="189">
        <f>22000-H1051</f>
        <v>0</v>
      </c>
      <c r="K1051" s="189">
        <f t="shared" si="87"/>
        <v>0</v>
      </c>
      <c r="L1051" s="190" t="s">
        <v>551</v>
      </c>
    </row>
    <row r="1052" spans="1:12" s="180" customFormat="1" ht="8.65" customHeight="1" x14ac:dyDescent="0.15">
      <c r="A1052" s="187" t="s">
        <v>664</v>
      </c>
      <c r="B1052" s="187" t="s">
        <v>854</v>
      </c>
      <c r="C1052" s="187" t="s">
        <v>683</v>
      </c>
      <c r="D1052" s="187" t="s">
        <v>855</v>
      </c>
      <c r="E1052" s="187" t="s">
        <v>290</v>
      </c>
      <c r="F1052" s="188"/>
      <c r="G1052" s="18"/>
      <c r="H1052" s="189">
        <v>6000</v>
      </c>
      <c r="I1052" s="188"/>
      <c r="J1052" s="189">
        <f>6000-H1052</f>
        <v>0</v>
      </c>
      <c r="K1052" s="189">
        <f t="shared" si="87"/>
        <v>0</v>
      </c>
      <c r="L1052" s="190" t="s">
        <v>551</v>
      </c>
    </row>
    <row r="1053" spans="1:12" s="180" customFormat="1" ht="8.65" customHeight="1" x14ac:dyDescent="0.15">
      <c r="A1053" s="187" t="s">
        <v>664</v>
      </c>
      <c r="B1053" s="187" t="s">
        <v>1127</v>
      </c>
      <c r="C1053" s="187" t="s">
        <v>666</v>
      </c>
      <c r="D1053" s="187" t="s">
        <v>1128</v>
      </c>
      <c r="E1053" s="187" t="s">
        <v>290</v>
      </c>
      <c r="F1053" s="188"/>
      <c r="G1053" s="18"/>
      <c r="H1053" s="189">
        <v>2100</v>
      </c>
      <c r="I1053" s="188"/>
      <c r="J1053" s="189">
        <f>2100-H1053</f>
        <v>0</v>
      </c>
      <c r="K1053" s="189">
        <f t="shared" si="87"/>
        <v>0</v>
      </c>
      <c r="L1053" s="190" t="s">
        <v>551</v>
      </c>
    </row>
    <row r="1054" spans="1:12" s="180" customFormat="1" ht="8.65" customHeight="1" x14ac:dyDescent="0.15">
      <c r="A1054" s="187" t="s">
        <v>664</v>
      </c>
      <c r="B1054" s="187" t="s">
        <v>1130</v>
      </c>
      <c r="C1054" s="187" t="s">
        <v>666</v>
      </c>
      <c r="D1054" s="187" t="s">
        <v>1131</v>
      </c>
      <c r="E1054" s="187" t="s">
        <v>290</v>
      </c>
      <c r="F1054" s="188"/>
      <c r="G1054" s="18"/>
      <c r="H1054" s="18">
        <v>17089</v>
      </c>
      <c r="I1054" s="189"/>
      <c r="J1054" s="189">
        <f>25500-H1054</f>
        <v>8411</v>
      </c>
      <c r="K1054" s="189">
        <f t="shared" si="86"/>
        <v>8411</v>
      </c>
      <c r="L1054" s="190" t="s">
        <v>551</v>
      </c>
    </row>
    <row r="1055" spans="1:12" s="180" customFormat="1" ht="8.65" customHeight="1" x14ac:dyDescent="0.15">
      <c r="A1055" s="187" t="s">
        <v>664</v>
      </c>
      <c r="B1055" s="187" t="s">
        <v>824</v>
      </c>
      <c r="C1055" s="187" t="s">
        <v>683</v>
      </c>
      <c r="D1055" s="187" t="s">
        <v>825</v>
      </c>
      <c r="E1055" s="187" t="s">
        <v>290</v>
      </c>
      <c r="F1055" s="188"/>
      <c r="G1055" s="18"/>
      <c r="H1055" s="18">
        <v>1950</v>
      </c>
      <c r="I1055" s="189"/>
      <c r="J1055" s="189">
        <f>1950-H1055</f>
        <v>0</v>
      </c>
      <c r="K1055" s="189">
        <f>+J1055-I1055</f>
        <v>0</v>
      </c>
      <c r="L1055" s="190" t="s">
        <v>551</v>
      </c>
    </row>
    <row r="1056" spans="1:12" s="180" customFormat="1" ht="8.65" customHeight="1" x14ac:dyDescent="0.15">
      <c r="A1056" s="187" t="s">
        <v>664</v>
      </c>
      <c r="B1056" s="187" t="s">
        <v>828</v>
      </c>
      <c r="C1056" s="187" t="s">
        <v>707</v>
      </c>
      <c r="D1056" s="187" t="s">
        <v>829</v>
      </c>
      <c r="E1056" s="187" t="s">
        <v>290</v>
      </c>
      <c r="F1056" s="188"/>
      <c r="G1056" s="18"/>
      <c r="H1056" s="18">
        <v>465669.53</v>
      </c>
      <c r="I1056" s="189">
        <v>159330</v>
      </c>
      <c r="J1056" s="189">
        <f>625000-H1056</f>
        <v>159330.46999999997</v>
      </c>
      <c r="K1056" s="189">
        <f t="shared" si="86"/>
        <v>0.46999999997206032</v>
      </c>
      <c r="L1056" s="190" t="s">
        <v>551</v>
      </c>
    </row>
    <row r="1057" spans="1:24" s="180" customFormat="1" ht="8.65" customHeight="1" x14ac:dyDescent="0.15">
      <c r="A1057" s="187" t="s">
        <v>664</v>
      </c>
      <c r="B1057" s="187" t="s">
        <v>2138</v>
      </c>
      <c r="C1057" s="187" t="s">
        <v>714</v>
      </c>
      <c r="D1057" s="187" t="s">
        <v>2139</v>
      </c>
      <c r="E1057" s="187" t="s">
        <v>290</v>
      </c>
      <c r="F1057" s="188"/>
      <c r="G1057" s="18"/>
      <c r="H1057" s="18">
        <v>28500</v>
      </c>
      <c r="I1057" s="189"/>
      <c r="J1057" s="189">
        <f>28500-H1057</f>
        <v>0</v>
      </c>
      <c r="K1057" s="189">
        <f t="shared" si="86"/>
        <v>0</v>
      </c>
      <c r="L1057" s="190" t="s">
        <v>551</v>
      </c>
    </row>
    <row r="1058" spans="1:24" s="180" customFormat="1" ht="8.65" customHeight="1" x14ac:dyDescent="0.15">
      <c r="A1058" s="187" t="s">
        <v>664</v>
      </c>
      <c r="B1058" s="187" t="s">
        <v>2119</v>
      </c>
      <c r="C1058" s="187" t="s">
        <v>676</v>
      </c>
      <c r="D1058" s="187" t="s">
        <v>2120</v>
      </c>
      <c r="E1058" s="187" t="s">
        <v>290</v>
      </c>
      <c r="F1058" s="188"/>
      <c r="G1058" s="18"/>
      <c r="H1058" s="18"/>
      <c r="I1058" s="189"/>
      <c r="J1058" s="189"/>
      <c r="K1058" s="189"/>
      <c r="L1058" s="190" t="s">
        <v>551</v>
      </c>
    </row>
    <row r="1059" spans="1:24" s="180" customFormat="1" ht="8.65" customHeight="1" x14ac:dyDescent="0.15">
      <c r="A1059" s="187" t="s">
        <v>664</v>
      </c>
      <c r="B1059" s="187" t="s">
        <v>1330</v>
      </c>
      <c r="C1059" s="187" t="s">
        <v>720</v>
      </c>
      <c r="D1059" s="187" t="s">
        <v>1331</v>
      </c>
      <c r="E1059" s="187" t="s">
        <v>290</v>
      </c>
      <c r="F1059" s="188"/>
      <c r="G1059" s="18"/>
      <c r="H1059" s="18">
        <v>180000</v>
      </c>
      <c r="I1059" s="189"/>
      <c r="J1059" s="189">
        <f>180000-H1059</f>
        <v>0</v>
      </c>
      <c r="K1059" s="189">
        <f>+J1059-I1059</f>
        <v>0</v>
      </c>
      <c r="L1059" s="190" t="s">
        <v>551</v>
      </c>
    </row>
    <row r="1060" spans="1:24" s="180" customFormat="1" ht="10.15" customHeight="1" x14ac:dyDescent="0.15">
      <c r="A1060" s="270" t="s">
        <v>291</v>
      </c>
      <c r="B1060" s="270"/>
      <c r="C1060" s="270"/>
      <c r="D1060" s="270"/>
      <c r="E1060" s="270"/>
      <c r="F1060" s="270"/>
      <c r="G1060" s="191"/>
      <c r="H1060" s="191"/>
      <c r="I1060" s="192">
        <f>SUM(I1026:I1059)</f>
        <v>415291.56</v>
      </c>
      <c r="J1060" s="192">
        <f>SUM(J1026:J1059)</f>
        <v>491528.47</v>
      </c>
      <c r="K1060" s="237">
        <f>+K1056+K1054+K1035+K1034+K1026+K1027+K1029</f>
        <v>76236.909999999974</v>
      </c>
      <c r="L1060" s="193"/>
    </row>
    <row r="1061" spans="1:24" s="180" customFormat="1" ht="4.1500000000000004" customHeight="1" x14ac:dyDescent="0.2">
      <c r="A1061" s="197"/>
      <c r="B1061" s="197"/>
      <c r="C1061" s="197"/>
      <c r="D1061" s="197"/>
      <c r="E1061" s="197"/>
      <c r="F1061" s="197"/>
      <c r="G1061" s="197"/>
      <c r="H1061" s="198"/>
      <c r="I1061" s="199"/>
      <c r="J1061" s="199"/>
      <c r="K1061" s="199"/>
      <c r="L1061" s="197"/>
      <c r="M1061" s="197"/>
      <c r="N1061" s="197"/>
      <c r="O1061" s="197"/>
      <c r="P1061" s="197"/>
      <c r="Q1061" s="197"/>
      <c r="R1061" s="197"/>
      <c r="S1061" s="197"/>
      <c r="T1061" s="197"/>
      <c r="U1061" s="197"/>
      <c r="V1061" s="197"/>
      <c r="W1061" s="197"/>
      <c r="X1061" s="197"/>
    </row>
    <row r="1062" spans="1:24" s="180" customFormat="1" ht="8.65" customHeight="1" x14ac:dyDescent="0.15">
      <c r="A1062" s="187" t="s">
        <v>664</v>
      </c>
      <c r="B1062" s="187" t="s">
        <v>665</v>
      </c>
      <c r="C1062" s="187" t="s">
        <v>666</v>
      </c>
      <c r="D1062" s="187" t="s">
        <v>667</v>
      </c>
      <c r="E1062" s="187" t="s">
        <v>304</v>
      </c>
      <c r="F1062" s="187" t="s">
        <v>305</v>
      </c>
      <c r="G1062" s="18"/>
      <c r="H1062" s="18">
        <v>125000</v>
      </c>
      <c r="I1062" s="189"/>
      <c r="J1062" s="189">
        <f>125000-H1062</f>
        <v>0</v>
      </c>
      <c r="K1062" s="189">
        <f>+J1062-I1062</f>
        <v>0</v>
      </c>
      <c r="L1062" s="190" t="s">
        <v>551</v>
      </c>
    </row>
    <row r="1063" spans="1:24" s="180" customFormat="1" ht="8.65" customHeight="1" x14ac:dyDescent="0.15">
      <c r="A1063" s="187" t="s">
        <v>664</v>
      </c>
      <c r="B1063" s="187" t="s">
        <v>764</v>
      </c>
      <c r="C1063" s="187" t="s">
        <v>666</v>
      </c>
      <c r="D1063" s="187" t="s">
        <v>765</v>
      </c>
      <c r="E1063" s="187" t="s">
        <v>304</v>
      </c>
      <c r="F1063" s="188"/>
      <c r="G1063" s="18"/>
      <c r="H1063" s="18"/>
      <c r="I1063" s="189"/>
      <c r="J1063" s="189">
        <v>22500</v>
      </c>
      <c r="K1063" s="189">
        <f t="shared" ref="K1063:K1064" si="88">+J1063-H1063</f>
        <v>22500</v>
      </c>
      <c r="L1063" s="190" t="s">
        <v>551</v>
      </c>
    </row>
    <row r="1064" spans="1:24" s="180" customFormat="1" ht="8.65" customHeight="1" x14ac:dyDescent="0.15">
      <c r="A1064" s="187" t="s">
        <v>664</v>
      </c>
      <c r="B1064" s="187" t="s">
        <v>766</v>
      </c>
      <c r="C1064" s="187" t="s">
        <v>666</v>
      </c>
      <c r="D1064" s="187" t="s">
        <v>938</v>
      </c>
      <c r="E1064" s="187" t="s">
        <v>304</v>
      </c>
      <c r="F1064" s="188"/>
      <c r="G1064" s="18"/>
      <c r="H1064" s="18"/>
      <c r="I1064" s="189"/>
      <c r="J1064" s="189">
        <v>5000</v>
      </c>
      <c r="K1064" s="189">
        <f t="shared" si="88"/>
        <v>5000</v>
      </c>
      <c r="L1064" s="190" t="s">
        <v>551</v>
      </c>
    </row>
    <row r="1065" spans="1:24" s="180" customFormat="1" ht="8.65" customHeight="1" x14ac:dyDescent="0.15">
      <c r="A1065" s="187" t="s">
        <v>664</v>
      </c>
      <c r="B1065" s="187" t="s">
        <v>682</v>
      </c>
      <c r="C1065" s="187" t="s">
        <v>683</v>
      </c>
      <c r="D1065" s="187" t="s">
        <v>684</v>
      </c>
      <c r="E1065" s="187" t="s">
        <v>304</v>
      </c>
      <c r="F1065" s="188"/>
      <c r="G1065" s="18"/>
      <c r="H1065" s="18">
        <v>2400</v>
      </c>
      <c r="I1065" s="189"/>
      <c r="J1065" s="189">
        <f>2400-H1065</f>
        <v>0</v>
      </c>
      <c r="K1065" s="189">
        <f>+J1065-I1065</f>
        <v>0</v>
      </c>
      <c r="L1065" s="190" t="s">
        <v>551</v>
      </c>
    </row>
    <row r="1066" spans="1:24" s="180" customFormat="1" ht="8.65" customHeight="1" x14ac:dyDescent="0.15">
      <c r="A1066" s="187" t="s">
        <v>664</v>
      </c>
      <c r="B1066" s="187" t="s">
        <v>685</v>
      </c>
      <c r="C1066" s="187" t="s">
        <v>683</v>
      </c>
      <c r="D1066" s="187" t="s">
        <v>686</v>
      </c>
      <c r="E1066" s="187" t="s">
        <v>304</v>
      </c>
      <c r="F1066" s="188"/>
      <c r="G1066" s="18"/>
      <c r="H1066" s="18">
        <v>5000</v>
      </c>
      <c r="I1066" s="189"/>
      <c r="J1066" s="189">
        <f>5000-H1066</f>
        <v>0</v>
      </c>
      <c r="K1066" s="189">
        <f>+J1066-I1066</f>
        <v>0</v>
      </c>
      <c r="L1066" s="190" t="s">
        <v>551</v>
      </c>
    </row>
    <row r="1067" spans="1:24" s="180" customFormat="1" ht="8.65" customHeight="1" x14ac:dyDescent="0.15">
      <c r="A1067" s="187" t="s">
        <v>664</v>
      </c>
      <c r="B1067" s="187" t="s">
        <v>1242</v>
      </c>
      <c r="C1067" s="187" t="s">
        <v>714</v>
      </c>
      <c r="D1067" s="187" t="s">
        <v>1243</v>
      </c>
      <c r="E1067" s="187" t="s">
        <v>304</v>
      </c>
      <c r="F1067" s="188"/>
      <c r="G1067" s="18"/>
      <c r="H1067" s="18"/>
      <c r="I1067" s="189"/>
      <c r="J1067" s="189">
        <v>36000</v>
      </c>
      <c r="K1067" s="189">
        <f>+J1067-I1067</f>
        <v>36000</v>
      </c>
      <c r="L1067" s="190" t="s">
        <v>551</v>
      </c>
    </row>
    <row r="1068" spans="1:24" s="180" customFormat="1" ht="8.65" customHeight="1" x14ac:dyDescent="0.15">
      <c r="A1068" s="187" t="s">
        <v>664</v>
      </c>
      <c r="B1068" s="187" t="s">
        <v>2134</v>
      </c>
      <c r="C1068" s="187" t="s">
        <v>683</v>
      </c>
      <c r="D1068" s="187" t="s">
        <v>2135</v>
      </c>
      <c r="E1068" s="187" t="s">
        <v>304</v>
      </c>
      <c r="F1068" s="188"/>
      <c r="G1068" s="18"/>
      <c r="H1068" s="18">
        <v>7750</v>
      </c>
      <c r="I1068" s="189"/>
      <c r="J1068" s="189">
        <f>7750-H1068</f>
        <v>0</v>
      </c>
      <c r="K1068" s="189">
        <f>+J1068-I1068</f>
        <v>0</v>
      </c>
      <c r="L1068" s="190" t="s">
        <v>551</v>
      </c>
    </row>
    <row r="1069" spans="1:24" s="180" customFormat="1" ht="8.65" customHeight="1" x14ac:dyDescent="0.15">
      <c r="A1069" s="187" t="s">
        <v>664</v>
      </c>
      <c r="B1069" s="187" t="s">
        <v>738</v>
      </c>
      <c r="C1069" s="187" t="s">
        <v>683</v>
      </c>
      <c r="D1069" s="187" t="s">
        <v>739</v>
      </c>
      <c r="E1069" s="187" t="s">
        <v>304</v>
      </c>
      <c r="F1069" s="188"/>
      <c r="G1069" s="18"/>
      <c r="H1069" s="18">
        <v>5000</v>
      </c>
      <c r="I1069" s="189"/>
      <c r="J1069" s="189">
        <f>5000-H1069</f>
        <v>0</v>
      </c>
      <c r="K1069" s="189">
        <f>+J1069-I$1069</f>
        <v>0</v>
      </c>
      <c r="L1069" s="190" t="s">
        <v>551</v>
      </c>
    </row>
    <row r="1070" spans="1:24" s="180" customFormat="1" ht="8.65" customHeight="1" x14ac:dyDescent="0.15">
      <c r="A1070" s="187" t="s">
        <v>664</v>
      </c>
      <c r="B1070" s="187" t="s">
        <v>863</v>
      </c>
      <c r="C1070" s="187" t="s">
        <v>864</v>
      </c>
      <c r="D1070" s="187" t="s">
        <v>2140</v>
      </c>
      <c r="E1070" s="187" t="s">
        <v>304</v>
      </c>
      <c r="F1070" s="188"/>
      <c r="G1070" s="18"/>
      <c r="H1070" s="18">
        <v>1385</v>
      </c>
      <c r="I1070" s="189"/>
      <c r="J1070" s="189">
        <f>5500-H1070</f>
        <v>4115</v>
      </c>
      <c r="K1070" s="189">
        <f t="shared" ref="K1070:K1077" si="89">+J1070-I$1069</f>
        <v>4115</v>
      </c>
      <c r="L1070" s="190" t="s">
        <v>551</v>
      </c>
    </row>
    <row r="1071" spans="1:24" s="180" customFormat="1" ht="8.65" customHeight="1" x14ac:dyDescent="0.15">
      <c r="A1071" s="187" t="s">
        <v>664</v>
      </c>
      <c r="B1071" s="187" t="s">
        <v>698</v>
      </c>
      <c r="C1071" s="187" t="s">
        <v>683</v>
      </c>
      <c r="D1071" s="187" t="s">
        <v>699</v>
      </c>
      <c r="E1071" s="187" t="s">
        <v>304</v>
      </c>
      <c r="F1071" s="188"/>
      <c r="G1071" s="18"/>
      <c r="H1071" s="18">
        <v>80000</v>
      </c>
      <c r="I1071" s="189"/>
      <c r="J1071" s="189">
        <f>80000-H$1071</f>
        <v>0</v>
      </c>
      <c r="K1071" s="189">
        <f t="shared" si="89"/>
        <v>0</v>
      </c>
      <c r="L1071" s="190" t="s">
        <v>551</v>
      </c>
    </row>
    <row r="1072" spans="1:24" s="180" customFormat="1" ht="8.65" customHeight="1" x14ac:dyDescent="0.15">
      <c r="A1072" s="187" t="s">
        <v>664</v>
      </c>
      <c r="B1072" s="187" t="s">
        <v>1363</v>
      </c>
      <c r="C1072" s="187" t="s">
        <v>683</v>
      </c>
      <c r="D1072" s="187" t="s">
        <v>2141</v>
      </c>
      <c r="E1072" s="187" t="s">
        <v>304</v>
      </c>
      <c r="F1072" s="188"/>
      <c r="G1072" s="18"/>
      <c r="H1072" s="18">
        <v>1050000</v>
      </c>
      <c r="I1072" s="189"/>
      <c r="J1072" s="189">
        <f t="shared" ref="J1072:J1077" si="90">80000-H$1071</f>
        <v>0</v>
      </c>
      <c r="K1072" s="189">
        <f t="shared" si="89"/>
        <v>0</v>
      </c>
      <c r="L1072" s="190" t="s">
        <v>551</v>
      </c>
    </row>
    <row r="1073" spans="1:23" s="180" customFormat="1" ht="8.65" customHeight="1" x14ac:dyDescent="0.15">
      <c r="A1073" s="187" t="s">
        <v>664</v>
      </c>
      <c r="B1073" s="187" t="s">
        <v>1365</v>
      </c>
      <c r="C1073" s="187" t="s">
        <v>683</v>
      </c>
      <c r="D1073" s="187" t="s">
        <v>2142</v>
      </c>
      <c r="E1073" s="187" t="s">
        <v>304</v>
      </c>
      <c r="F1073" s="188"/>
      <c r="G1073" s="18"/>
      <c r="H1073" s="18">
        <v>580000</v>
      </c>
      <c r="I1073" s="189"/>
      <c r="J1073" s="189">
        <f t="shared" si="90"/>
        <v>0</v>
      </c>
      <c r="K1073" s="189">
        <f t="shared" si="89"/>
        <v>0</v>
      </c>
      <c r="L1073" s="190" t="s">
        <v>551</v>
      </c>
    </row>
    <row r="1074" spans="1:23" s="180" customFormat="1" ht="8.65" customHeight="1" x14ac:dyDescent="0.15">
      <c r="A1074" s="187" t="s">
        <v>664</v>
      </c>
      <c r="B1074" s="187" t="s">
        <v>799</v>
      </c>
      <c r="C1074" s="187" t="s">
        <v>666</v>
      </c>
      <c r="D1074" s="187" t="s">
        <v>800</v>
      </c>
      <c r="E1074" s="187" t="s">
        <v>304</v>
      </c>
      <c r="F1074" s="188"/>
      <c r="G1074" s="18"/>
      <c r="H1074" s="18">
        <v>22000</v>
      </c>
      <c r="I1074" s="189"/>
      <c r="J1074" s="189">
        <f t="shared" si="90"/>
        <v>0</v>
      </c>
      <c r="K1074" s="189">
        <f t="shared" si="89"/>
        <v>0</v>
      </c>
      <c r="L1074" s="190" t="s">
        <v>551</v>
      </c>
    </row>
    <row r="1075" spans="1:23" s="180" customFormat="1" ht="8.65" customHeight="1" x14ac:dyDescent="0.15">
      <c r="A1075" s="187" t="s">
        <v>664</v>
      </c>
      <c r="B1075" s="187" t="s">
        <v>870</v>
      </c>
      <c r="C1075" s="187" t="s">
        <v>683</v>
      </c>
      <c r="D1075" s="187" t="s">
        <v>2143</v>
      </c>
      <c r="E1075" s="187" t="s">
        <v>304</v>
      </c>
      <c r="F1075" s="188"/>
      <c r="G1075" s="18"/>
      <c r="H1075" s="18">
        <v>6000</v>
      </c>
      <c r="I1075" s="189"/>
      <c r="J1075" s="189">
        <f t="shared" si="90"/>
        <v>0</v>
      </c>
      <c r="K1075" s="189">
        <f t="shared" si="89"/>
        <v>0</v>
      </c>
      <c r="L1075" s="190" t="s">
        <v>551</v>
      </c>
    </row>
    <row r="1076" spans="1:23" s="180" customFormat="1" ht="8.65" customHeight="1" x14ac:dyDescent="0.15">
      <c r="A1076" s="187" t="s">
        <v>664</v>
      </c>
      <c r="B1076" s="187" t="s">
        <v>746</v>
      </c>
      <c r="C1076" s="187" t="s">
        <v>683</v>
      </c>
      <c r="D1076" s="187" t="s">
        <v>2144</v>
      </c>
      <c r="E1076" s="187" t="s">
        <v>304</v>
      </c>
      <c r="F1076" s="188"/>
      <c r="G1076" s="18"/>
      <c r="H1076" s="18">
        <v>24000</v>
      </c>
      <c r="I1076" s="189"/>
      <c r="J1076" s="189">
        <f t="shared" si="90"/>
        <v>0</v>
      </c>
      <c r="K1076" s="189">
        <f t="shared" si="89"/>
        <v>0</v>
      </c>
      <c r="L1076" s="190" t="s">
        <v>551</v>
      </c>
    </row>
    <row r="1077" spans="1:23" s="180" customFormat="1" ht="8.65" customHeight="1" x14ac:dyDescent="0.15">
      <c r="A1077" s="187" t="s">
        <v>664</v>
      </c>
      <c r="B1077" s="187" t="s">
        <v>811</v>
      </c>
      <c r="C1077" s="187" t="s">
        <v>769</v>
      </c>
      <c r="D1077" s="187" t="s">
        <v>812</v>
      </c>
      <c r="E1077" s="187" t="s">
        <v>304</v>
      </c>
      <c r="F1077" s="188"/>
      <c r="G1077" s="18"/>
      <c r="H1077" s="18">
        <v>2250</v>
      </c>
      <c r="I1077" s="189"/>
      <c r="J1077" s="189">
        <f t="shared" si="90"/>
        <v>0</v>
      </c>
      <c r="K1077" s="189">
        <f t="shared" si="89"/>
        <v>0</v>
      </c>
      <c r="L1077" s="190" t="s">
        <v>551</v>
      </c>
    </row>
    <row r="1078" spans="1:23" s="180" customFormat="1" ht="10.15" customHeight="1" x14ac:dyDescent="0.15">
      <c r="A1078" s="269" t="s">
        <v>306</v>
      </c>
      <c r="B1078" s="269"/>
      <c r="C1078" s="269"/>
      <c r="D1078" s="269"/>
      <c r="E1078" s="269"/>
      <c r="F1078" s="269"/>
      <c r="G1078" s="222"/>
      <c r="H1078" s="222"/>
      <c r="I1078" s="223">
        <f>SUM(I1062:I1077)</f>
        <v>0</v>
      </c>
      <c r="J1078" s="223">
        <f>SUM(J1062:J1077)</f>
        <v>67615</v>
      </c>
      <c r="K1078" s="223">
        <f>SUM(K1062:K1077)</f>
        <v>67615</v>
      </c>
      <c r="L1078" s="240"/>
    </row>
    <row r="1079" spans="1:23" s="180" customFormat="1" ht="3.6" customHeight="1" x14ac:dyDescent="0.2">
      <c r="A1079" s="197"/>
      <c r="B1079" s="197"/>
      <c r="C1079" s="197"/>
      <c r="D1079" s="197"/>
      <c r="E1079" s="197"/>
      <c r="F1079" s="197"/>
      <c r="G1079" s="197"/>
      <c r="H1079" s="198"/>
      <c r="I1079" s="199"/>
      <c r="J1079" s="199"/>
      <c r="K1079" s="199"/>
      <c r="L1079" s="197"/>
      <c r="M1079" s="197"/>
      <c r="N1079" s="197"/>
      <c r="O1079" s="197"/>
      <c r="P1079" s="197"/>
      <c r="Q1079" s="197"/>
      <c r="R1079" s="197"/>
      <c r="S1079" s="197"/>
      <c r="T1079" s="197"/>
      <c r="U1079" s="197"/>
      <c r="V1079" s="197"/>
      <c r="W1079" s="197"/>
    </row>
    <row r="1080" spans="1:23" s="180" customFormat="1" ht="8.65" customHeight="1" x14ac:dyDescent="0.15">
      <c r="A1080" s="187" t="s">
        <v>664</v>
      </c>
      <c r="B1080" s="187" t="s">
        <v>760</v>
      </c>
      <c r="C1080" s="187" t="s">
        <v>666</v>
      </c>
      <c r="D1080" s="187" t="s">
        <v>761</v>
      </c>
      <c r="E1080" s="187" t="s">
        <v>2145</v>
      </c>
      <c r="F1080" s="187" t="s">
        <v>446</v>
      </c>
      <c r="G1080" s="18"/>
      <c r="H1080" s="18">
        <v>55000</v>
      </c>
      <c r="I1080" s="189"/>
      <c r="J1080" s="189">
        <f>55000-H$1080</f>
        <v>0</v>
      </c>
      <c r="K1080" s="189">
        <f>+J1080-I$1080</f>
        <v>0</v>
      </c>
      <c r="L1080" s="190" t="s">
        <v>551</v>
      </c>
    </row>
    <row r="1081" spans="1:23" s="180" customFormat="1" ht="8.65" customHeight="1" x14ac:dyDescent="0.15">
      <c r="A1081" s="187" t="s">
        <v>664</v>
      </c>
      <c r="B1081" s="187" t="s">
        <v>665</v>
      </c>
      <c r="C1081" s="187" t="s">
        <v>666</v>
      </c>
      <c r="D1081" s="187" t="s">
        <v>667</v>
      </c>
      <c r="E1081" s="187" t="s">
        <v>2145</v>
      </c>
      <c r="F1081" s="188"/>
      <c r="G1081" s="18"/>
      <c r="H1081" s="18">
        <v>240000</v>
      </c>
      <c r="I1081" s="189"/>
      <c r="J1081" s="189">
        <f t="shared" ref="J1081:J1096" si="91">55000-H$1080</f>
        <v>0</v>
      </c>
      <c r="K1081" s="189">
        <f t="shared" ref="K1081:K1096" si="92">+J1081-I$1080</f>
        <v>0</v>
      </c>
      <c r="L1081" s="190" t="s">
        <v>551</v>
      </c>
    </row>
    <row r="1082" spans="1:23" s="180" customFormat="1" ht="8.65" customHeight="1" x14ac:dyDescent="0.15">
      <c r="A1082" s="187" t="s">
        <v>664</v>
      </c>
      <c r="B1082" s="187" t="s">
        <v>2146</v>
      </c>
      <c r="C1082" s="187" t="s">
        <v>666</v>
      </c>
      <c r="D1082" s="187" t="s">
        <v>2147</v>
      </c>
      <c r="E1082" s="187" t="s">
        <v>2145</v>
      </c>
      <c r="F1082" s="188"/>
      <c r="G1082" s="18"/>
      <c r="H1082" s="18">
        <v>10000</v>
      </c>
      <c r="I1082" s="189"/>
      <c r="J1082" s="189">
        <f t="shared" si="91"/>
        <v>0</v>
      </c>
      <c r="K1082" s="189">
        <f t="shared" si="92"/>
        <v>0</v>
      </c>
      <c r="L1082" s="190" t="s">
        <v>551</v>
      </c>
    </row>
    <row r="1083" spans="1:23" s="180" customFormat="1" ht="8.65" customHeight="1" x14ac:dyDescent="0.15">
      <c r="A1083" s="187" t="s">
        <v>664</v>
      </c>
      <c r="B1083" s="187" t="s">
        <v>764</v>
      </c>
      <c r="C1083" s="187" t="s">
        <v>666</v>
      </c>
      <c r="D1083" s="187" t="s">
        <v>765</v>
      </c>
      <c r="E1083" s="187" t="s">
        <v>2145</v>
      </c>
      <c r="F1083" s="188"/>
      <c r="G1083" s="18"/>
      <c r="H1083" s="18"/>
      <c r="I1083" s="189"/>
      <c r="J1083" s="189">
        <f t="shared" si="91"/>
        <v>0</v>
      </c>
      <c r="K1083" s="189">
        <f t="shared" si="92"/>
        <v>0</v>
      </c>
      <c r="L1083" s="190" t="s">
        <v>551</v>
      </c>
    </row>
    <row r="1084" spans="1:23" s="180" customFormat="1" ht="8.65" customHeight="1" x14ac:dyDescent="0.15">
      <c r="A1084" s="187" t="s">
        <v>664</v>
      </c>
      <c r="B1084" s="187" t="s">
        <v>766</v>
      </c>
      <c r="C1084" s="187" t="s">
        <v>666</v>
      </c>
      <c r="D1084" s="187" t="s">
        <v>767</v>
      </c>
      <c r="E1084" s="187" t="s">
        <v>2145</v>
      </c>
      <c r="F1084" s="188"/>
      <c r="G1084" s="18"/>
      <c r="H1084" s="18"/>
      <c r="I1084" s="189"/>
      <c r="J1084" s="189">
        <f t="shared" si="91"/>
        <v>0</v>
      </c>
      <c r="K1084" s="189">
        <f t="shared" si="92"/>
        <v>0</v>
      </c>
      <c r="L1084" s="190" t="s">
        <v>551</v>
      </c>
    </row>
    <row r="1085" spans="1:23" s="180" customFormat="1" ht="8.65" customHeight="1" x14ac:dyDescent="0.15">
      <c r="A1085" s="187" t="s">
        <v>664</v>
      </c>
      <c r="B1085" s="187" t="s">
        <v>682</v>
      </c>
      <c r="C1085" s="187" t="s">
        <v>683</v>
      </c>
      <c r="D1085" s="187" t="s">
        <v>684</v>
      </c>
      <c r="E1085" s="187" t="s">
        <v>2145</v>
      </c>
      <c r="F1085" s="188"/>
      <c r="G1085" s="18"/>
      <c r="H1085" s="18">
        <v>12000</v>
      </c>
      <c r="I1085" s="189"/>
      <c r="J1085" s="189">
        <f t="shared" si="91"/>
        <v>0</v>
      </c>
      <c r="K1085" s="189">
        <f t="shared" si="92"/>
        <v>0</v>
      </c>
      <c r="L1085" s="190" t="s">
        <v>551</v>
      </c>
    </row>
    <row r="1086" spans="1:23" s="180" customFormat="1" ht="8.65" customHeight="1" x14ac:dyDescent="0.15">
      <c r="A1086" s="187" t="s">
        <v>664</v>
      </c>
      <c r="B1086" s="187" t="s">
        <v>685</v>
      </c>
      <c r="C1086" s="187" t="s">
        <v>683</v>
      </c>
      <c r="D1086" s="187" t="s">
        <v>686</v>
      </c>
      <c r="E1086" s="187" t="s">
        <v>2145</v>
      </c>
      <c r="F1086" s="188"/>
      <c r="G1086" s="18"/>
      <c r="H1086" s="18">
        <v>7500</v>
      </c>
      <c r="I1086" s="189"/>
      <c r="J1086" s="189">
        <f t="shared" si="91"/>
        <v>0</v>
      </c>
      <c r="K1086" s="189">
        <f t="shared" si="92"/>
        <v>0</v>
      </c>
      <c r="L1086" s="190" t="s">
        <v>551</v>
      </c>
    </row>
    <row r="1087" spans="1:23" s="180" customFormat="1" ht="8.65" customHeight="1" x14ac:dyDescent="0.15">
      <c r="A1087" s="187" t="s">
        <v>664</v>
      </c>
      <c r="B1087" s="187" t="s">
        <v>687</v>
      </c>
      <c r="C1087" s="187" t="s">
        <v>683</v>
      </c>
      <c r="D1087" s="187" t="s">
        <v>688</v>
      </c>
      <c r="E1087" s="187" t="s">
        <v>2145</v>
      </c>
      <c r="F1087" s="188"/>
      <c r="G1087" s="18"/>
      <c r="H1087" s="18">
        <v>100000</v>
      </c>
      <c r="I1087" s="189"/>
      <c r="J1087" s="189">
        <f t="shared" si="91"/>
        <v>0</v>
      </c>
      <c r="K1087" s="189">
        <f t="shared" si="92"/>
        <v>0</v>
      </c>
      <c r="L1087" s="190" t="s">
        <v>551</v>
      </c>
    </row>
    <row r="1088" spans="1:23" s="180" customFormat="1" ht="8.65" customHeight="1" x14ac:dyDescent="0.15">
      <c r="A1088" s="187" t="s">
        <v>664</v>
      </c>
      <c r="B1088" s="187" t="s">
        <v>2148</v>
      </c>
      <c r="C1088" s="187" t="s">
        <v>925</v>
      </c>
      <c r="D1088" s="187" t="s">
        <v>2149</v>
      </c>
      <c r="E1088" s="187" t="s">
        <v>2145</v>
      </c>
      <c r="F1088" s="188"/>
      <c r="G1088" s="18"/>
      <c r="H1088" s="18"/>
      <c r="I1088" s="189"/>
      <c r="J1088" s="189">
        <f t="shared" si="91"/>
        <v>0</v>
      </c>
      <c r="K1088" s="189">
        <f t="shared" si="92"/>
        <v>0</v>
      </c>
      <c r="L1088" s="190" t="s">
        <v>551</v>
      </c>
    </row>
    <row r="1089" spans="1:21" s="180" customFormat="1" ht="8.65" customHeight="1" x14ac:dyDescent="0.15">
      <c r="A1089" s="187" t="s">
        <v>664</v>
      </c>
      <c r="B1089" s="187" t="s">
        <v>736</v>
      </c>
      <c r="C1089" s="187" t="s">
        <v>683</v>
      </c>
      <c r="D1089" s="187" t="s">
        <v>2150</v>
      </c>
      <c r="E1089" s="187" t="s">
        <v>2145</v>
      </c>
      <c r="F1089" s="188"/>
      <c r="G1089" s="18"/>
      <c r="H1089" s="18">
        <v>4500</v>
      </c>
      <c r="I1089" s="189"/>
      <c r="J1089" s="189">
        <f t="shared" si="91"/>
        <v>0</v>
      </c>
      <c r="K1089" s="189">
        <f t="shared" si="92"/>
        <v>0</v>
      </c>
      <c r="L1089" s="190" t="s">
        <v>551</v>
      </c>
    </row>
    <row r="1090" spans="1:21" s="180" customFormat="1" ht="8.65" customHeight="1" x14ac:dyDescent="0.15">
      <c r="A1090" s="187" t="s">
        <v>664</v>
      </c>
      <c r="B1090" s="187" t="s">
        <v>738</v>
      </c>
      <c r="C1090" s="187" t="s">
        <v>683</v>
      </c>
      <c r="D1090" s="187" t="s">
        <v>739</v>
      </c>
      <c r="E1090" s="187" t="s">
        <v>2145</v>
      </c>
      <c r="F1090" s="188"/>
      <c r="G1090" s="18"/>
      <c r="H1090" s="18">
        <v>10000</v>
      </c>
      <c r="I1090" s="189"/>
      <c r="J1090" s="189">
        <f t="shared" si="91"/>
        <v>0</v>
      </c>
      <c r="K1090" s="189">
        <f t="shared" si="92"/>
        <v>0</v>
      </c>
      <c r="L1090" s="190" t="s">
        <v>551</v>
      </c>
    </row>
    <row r="1091" spans="1:21" s="180" customFormat="1" ht="8.65" customHeight="1" x14ac:dyDescent="0.15">
      <c r="A1091" s="187" t="s">
        <v>664</v>
      </c>
      <c r="B1091" s="187" t="s">
        <v>2151</v>
      </c>
      <c r="C1091" s="187" t="s">
        <v>1467</v>
      </c>
      <c r="D1091" s="187" t="s">
        <v>2152</v>
      </c>
      <c r="E1091" s="187" t="s">
        <v>2145</v>
      </c>
      <c r="F1091" s="188"/>
      <c r="G1091" s="18"/>
      <c r="H1091" s="18">
        <v>10000</v>
      </c>
      <c r="I1091" s="189"/>
      <c r="J1091" s="189">
        <f t="shared" si="91"/>
        <v>0</v>
      </c>
      <c r="K1091" s="189">
        <f t="shared" si="92"/>
        <v>0</v>
      </c>
      <c r="L1091" s="190" t="s">
        <v>551</v>
      </c>
    </row>
    <row r="1092" spans="1:21" s="180" customFormat="1" ht="8.65" customHeight="1" x14ac:dyDescent="0.15">
      <c r="A1092" s="187" t="s">
        <v>664</v>
      </c>
      <c r="B1092" s="187" t="s">
        <v>783</v>
      </c>
      <c r="C1092" s="187" t="s">
        <v>683</v>
      </c>
      <c r="D1092" s="187" t="s">
        <v>784</v>
      </c>
      <c r="E1092" s="187" t="s">
        <v>2145</v>
      </c>
      <c r="F1092" s="188"/>
      <c r="G1092" s="18"/>
      <c r="H1092" s="18">
        <v>5500</v>
      </c>
      <c r="I1092" s="189"/>
      <c r="J1092" s="189">
        <f t="shared" si="91"/>
        <v>0</v>
      </c>
      <c r="K1092" s="189">
        <f t="shared" si="92"/>
        <v>0</v>
      </c>
      <c r="L1092" s="190" t="s">
        <v>551</v>
      </c>
    </row>
    <row r="1093" spans="1:21" s="180" customFormat="1" ht="8.65" customHeight="1" x14ac:dyDescent="0.15">
      <c r="A1093" s="187" t="s">
        <v>664</v>
      </c>
      <c r="B1093" s="187" t="s">
        <v>785</v>
      </c>
      <c r="C1093" s="187" t="s">
        <v>683</v>
      </c>
      <c r="D1093" s="187" t="s">
        <v>910</v>
      </c>
      <c r="E1093" s="187" t="s">
        <v>2145</v>
      </c>
      <c r="F1093" s="188"/>
      <c r="G1093" s="18"/>
      <c r="H1093" s="18">
        <v>34500</v>
      </c>
      <c r="I1093" s="189"/>
      <c r="J1093" s="189">
        <f t="shared" si="91"/>
        <v>0</v>
      </c>
      <c r="K1093" s="189">
        <f t="shared" si="92"/>
        <v>0</v>
      </c>
      <c r="L1093" s="190" t="s">
        <v>551</v>
      </c>
    </row>
    <row r="1094" spans="1:21" s="180" customFormat="1" ht="8.65" customHeight="1" x14ac:dyDescent="0.15">
      <c r="A1094" s="187" t="s">
        <v>664</v>
      </c>
      <c r="B1094" s="187" t="s">
        <v>1322</v>
      </c>
      <c r="C1094" s="187" t="s">
        <v>683</v>
      </c>
      <c r="D1094" s="187" t="s">
        <v>1323</v>
      </c>
      <c r="E1094" s="187" t="s">
        <v>2145</v>
      </c>
      <c r="F1094" s="188"/>
      <c r="G1094" s="18"/>
      <c r="H1094" s="18">
        <v>4000</v>
      </c>
      <c r="I1094" s="189"/>
      <c r="J1094" s="189">
        <f t="shared" si="91"/>
        <v>0</v>
      </c>
      <c r="K1094" s="189">
        <f t="shared" si="92"/>
        <v>0</v>
      </c>
      <c r="L1094" s="190" t="s">
        <v>551</v>
      </c>
    </row>
    <row r="1095" spans="1:21" s="180" customFormat="1" ht="8.65" customHeight="1" x14ac:dyDescent="0.15">
      <c r="A1095" s="187" t="s">
        <v>664</v>
      </c>
      <c r="B1095" s="187" t="s">
        <v>746</v>
      </c>
      <c r="C1095" s="187" t="s">
        <v>683</v>
      </c>
      <c r="D1095" s="187" t="s">
        <v>2144</v>
      </c>
      <c r="E1095" s="187" t="s">
        <v>2145</v>
      </c>
      <c r="F1095" s="188"/>
      <c r="G1095" s="18"/>
      <c r="H1095" s="18">
        <v>2400</v>
      </c>
      <c r="I1095" s="189"/>
      <c r="J1095" s="189">
        <f t="shared" si="91"/>
        <v>0</v>
      </c>
      <c r="K1095" s="189">
        <f t="shared" si="92"/>
        <v>0</v>
      </c>
      <c r="L1095" s="190" t="s">
        <v>551</v>
      </c>
    </row>
    <row r="1096" spans="1:21" s="180" customFormat="1" ht="8.65" customHeight="1" x14ac:dyDescent="0.15">
      <c r="A1096" s="187" t="s">
        <v>664</v>
      </c>
      <c r="B1096" s="187" t="s">
        <v>811</v>
      </c>
      <c r="C1096" s="187" t="s">
        <v>769</v>
      </c>
      <c r="D1096" s="187" t="s">
        <v>2153</v>
      </c>
      <c r="E1096" s="187" t="s">
        <v>2145</v>
      </c>
      <c r="F1096" s="188"/>
      <c r="G1096" s="18"/>
      <c r="H1096" s="18">
        <v>3750</v>
      </c>
      <c r="I1096" s="189"/>
      <c r="J1096" s="189">
        <f t="shared" si="91"/>
        <v>0</v>
      </c>
      <c r="K1096" s="189">
        <f t="shared" si="92"/>
        <v>0</v>
      </c>
      <c r="L1096" s="190" t="s">
        <v>551</v>
      </c>
    </row>
    <row r="1097" spans="1:21" s="180" customFormat="1" ht="8.65" customHeight="1" x14ac:dyDescent="0.15">
      <c r="A1097" s="187" t="s">
        <v>664</v>
      </c>
      <c r="B1097" s="187" t="s">
        <v>815</v>
      </c>
      <c r="C1097" s="187" t="s">
        <v>673</v>
      </c>
      <c r="D1097" s="187" t="s">
        <v>2154</v>
      </c>
      <c r="E1097" s="187" t="s">
        <v>2145</v>
      </c>
      <c r="F1097" s="188"/>
      <c r="G1097" s="18"/>
      <c r="H1097" s="18">
        <v>7992</v>
      </c>
      <c r="I1097" s="189"/>
      <c r="J1097" s="189">
        <f>22500-H1097</f>
        <v>14508</v>
      </c>
      <c r="K1097" s="189">
        <f>+J1097-I1097</f>
        <v>14508</v>
      </c>
      <c r="L1097" s="190" t="s">
        <v>551</v>
      </c>
    </row>
    <row r="1098" spans="1:21" s="180" customFormat="1" ht="8.65" customHeight="1" x14ac:dyDescent="0.15">
      <c r="A1098" s="187" t="s">
        <v>664</v>
      </c>
      <c r="B1098" s="187" t="s">
        <v>824</v>
      </c>
      <c r="C1098" s="187" t="s">
        <v>683</v>
      </c>
      <c r="D1098" s="187" t="s">
        <v>825</v>
      </c>
      <c r="E1098" s="187" t="s">
        <v>2145</v>
      </c>
      <c r="F1098" s="188"/>
      <c r="G1098" s="18"/>
      <c r="H1098" s="18">
        <v>15000</v>
      </c>
      <c r="I1098" s="189"/>
      <c r="J1098" s="189">
        <f>15000-H1098</f>
        <v>0</v>
      </c>
      <c r="K1098" s="189">
        <f>+J1098-I1098</f>
        <v>0</v>
      </c>
      <c r="L1098" s="190" t="s">
        <v>551</v>
      </c>
    </row>
    <row r="1099" spans="1:21" s="180" customFormat="1" ht="8.65" customHeight="1" x14ac:dyDescent="0.15">
      <c r="A1099" s="187" t="s">
        <v>664</v>
      </c>
      <c r="B1099" s="187" t="s">
        <v>828</v>
      </c>
      <c r="C1099" s="187" t="s">
        <v>707</v>
      </c>
      <c r="D1099" s="187" t="s">
        <v>2155</v>
      </c>
      <c r="E1099" s="187" t="s">
        <v>2145</v>
      </c>
      <c r="F1099" s="188"/>
      <c r="G1099" s="18"/>
      <c r="H1099" s="18">
        <v>45417</v>
      </c>
      <c r="I1099" s="189"/>
      <c r="J1099" s="189">
        <f>175000-H1099</f>
        <v>129583</v>
      </c>
      <c r="K1099" s="189">
        <f>+J1099-I1099</f>
        <v>129583</v>
      </c>
      <c r="L1099" s="190" t="s">
        <v>551</v>
      </c>
    </row>
    <row r="1100" spans="1:21" s="180" customFormat="1" ht="8.65" customHeight="1" x14ac:dyDescent="0.15">
      <c r="A1100" s="187" t="s">
        <v>664</v>
      </c>
      <c r="B1100" s="187" t="s">
        <v>931</v>
      </c>
      <c r="C1100" s="187" t="s">
        <v>925</v>
      </c>
      <c r="D1100" s="187" t="s">
        <v>932</v>
      </c>
      <c r="E1100" s="187" t="s">
        <v>2145</v>
      </c>
      <c r="F1100" s="188"/>
      <c r="G1100" s="18"/>
      <c r="H1100" s="18">
        <v>1452000</v>
      </c>
      <c r="I1100" s="189"/>
      <c r="J1100" s="189">
        <f>1452000-H1100</f>
        <v>0</v>
      </c>
      <c r="K1100" s="189">
        <f>+J1100-I1100</f>
        <v>0</v>
      </c>
      <c r="L1100" s="190" t="s">
        <v>551</v>
      </c>
    </row>
    <row r="1101" spans="1:21" s="180" customFormat="1" ht="8.65" customHeight="1" x14ac:dyDescent="0.15">
      <c r="A1101" s="187" t="s">
        <v>664</v>
      </c>
      <c r="B1101" s="187" t="s">
        <v>933</v>
      </c>
      <c r="C1101" s="187" t="s">
        <v>925</v>
      </c>
      <c r="D1101" s="187" t="s">
        <v>2156</v>
      </c>
      <c r="E1101" s="187" t="s">
        <v>2145</v>
      </c>
      <c r="F1101" s="188"/>
      <c r="G1101" s="18"/>
      <c r="H1101" s="18">
        <v>990000</v>
      </c>
      <c r="I1101" s="189"/>
      <c r="J1101" s="189">
        <f>990000-H1101</f>
        <v>0</v>
      </c>
      <c r="K1101" s="189">
        <f>+J1101-I1101</f>
        <v>0</v>
      </c>
      <c r="L1101" s="190" t="s">
        <v>551</v>
      </c>
    </row>
    <row r="1102" spans="1:21" s="180" customFormat="1" ht="10.15" customHeight="1" x14ac:dyDescent="0.15">
      <c r="A1102" s="270" t="s">
        <v>444</v>
      </c>
      <c r="B1102" s="270"/>
      <c r="C1102" s="270"/>
      <c r="D1102" s="270"/>
      <c r="E1102" s="270"/>
      <c r="F1102" s="270"/>
      <c r="G1102" s="191"/>
      <c r="H1102" s="191"/>
      <c r="I1102" s="192">
        <f>SUM(I1080:I1101)</f>
        <v>0</v>
      </c>
      <c r="J1102" s="192">
        <f>SUM(J1080:J1101)</f>
        <v>144091</v>
      </c>
      <c r="K1102" s="192">
        <f>SUM(K1080:K1101)</f>
        <v>144091</v>
      </c>
      <c r="L1102" s="193"/>
    </row>
    <row r="1103" spans="1:21" s="180" customFormat="1" ht="4.9000000000000004" customHeight="1" x14ac:dyDescent="0.2">
      <c r="A1103" s="197"/>
      <c r="B1103" s="197"/>
      <c r="C1103" s="197"/>
      <c r="D1103" s="197"/>
      <c r="E1103" s="197"/>
      <c r="F1103" s="197"/>
      <c r="G1103" s="197"/>
      <c r="H1103" s="198"/>
      <c r="I1103" s="199"/>
      <c r="J1103" s="199"/>
      <c r="K1103" s="199"/>
      <c r="L1103" s="197"/>
      <c r="M1103" s="197"/>
      <c r="N1103" s="197"/>
      <c r="O1103" s="197"/>
      <c r="P1103" s="197"/>
      <c r="Q1103" s="197"/>
      <c r="R1103" s="197"/>
      <c r="S1103" s="197"/>
      <c r="T1103" s="197"/>
      <c r="U1103" s="197"/>
    </row>
    <row r="1104" spans="1:21" s="180" customFormat="1" ht="8.65" customHeight="1" x14ac:dyDescent="0.15">
      <c r="A1104" s="187" t="s">
        <v>664</v>
      </c>
      <c r="B1104" s="187" t="s">
        <v>665</v>
      </c>
      <c r="C1104" s="187" t="s">
        <v>666</v>
      </c>
      <c r="D1104" s="187" t="s">
        <v>667</v>
      </c>
      <c r="E1104" s="187" t="s">
        <v>318</v>
      </c>
      <c r="F1104" s="187" t="s">
        <v>319</v>
      </c>
      <c r="G1104" s="18"/>
      <c r="H1104" s="18">
        <v>128851</v>
      </c>
      <c r="I1104" s="189"/>
      <c r="J1104" s="189">
        <f>128851-H1104</f>
        <v>0</v>
      </c>
      <c r="K1104" s="189">
        <f>+J1104-I1104</f>
        <v>0</v>
      </c>
      <c r="L1104" s="190" t="s">
        <v>551</v>
      </c>
    </row>
    <row r="1105" spans="1:12" s="180" customFormat="1" ht="8.65" customHeight="1" x14ac:dyDescent="0.15">
      <c r="A1105" s="187" t="s">
        <v>664</v>
      </c>
      <c r="B1105" s="187" t="s">
        <v>764</v>
      </c>
      <c r="C1105" s="187" t="s">
        <v>666</v>
      </c>
      <c r="D1105" s="187" t="s">
        <v>765</v>
      </c>
      <c r="E1105" s="187" t="s">
        <v>318</v>
      </c>
      <c r="F1105" s="188"/>
      <c r="G1105" s="18"/>
      <c r="H1105" s="18">
        <v>12325</v>
      </c>
      <c r="I1105" s="189"/>
      <c r="J1105" s="189">
        <f>33388-H1105</f>
        <v>21063</v>
      </c>
      <c r="K1105" s="189">
        <f>+J1105-I1105</f>
        <v>21063</v>
      </c>
      <c r="L1105" s="190" t="s">
        <v>551</v>
      </c>
    </row>
    <row r="1106" spans="1:12" s="180" customFormat="1" ht="8.65" customHeight="1" x14ac:dyDescent="0.15">
      <c r="A1106" s="187" t="s">
        <v>664</v>
      </c>
      <c r="B1106" s="187" t="s">
        <v>670</v>
      </c>
      <c r="C1106" s="187" t="s">
        <v>666</v>
      </c>
      <c r="D1106" s="187" t="s">
        <v>671</v>
      </c>
      <c r="E1106" s="187" t="s">
        <v>318</v>
      </c>
      <c r="F1106" s="188"/>
      <c r="G1106" s="18"/>
      <c r="H1106" s="18">
        <v>11360</v>
      </c>
      <c r="I1106" s="189"/>
      <c r="J1106" s="189">
        <f>11360-H$1106</f>
        <v>0</v>
      </c>
      <c r="K1106" s="189">
        <f>+J1106-I1106</f>
        <v>0</v>
      </c>
      <c r="L1106" s="190" t="s">
        <v>551</v>
      </c>
    </row>
    <row r="1107" spans="1:12" s="180" customFormat="1" ht="8.65" customHeight="1" x14ac:dyDescent="0.15">
      <c r="A1107" s="187" t="s">
        <v>664</v>
      </c>
      <c r="B1107" s="187" t="s">
        <v>2157</v>
      </c>
      <c r="C1107" s="187" t="s">
        <v>683</v>
      </c>
      <c r="D1107" s="187" t="s">
        <v>2158</v>
      </c>
      <c r="E1107" s="187" t="s">
        <v>318</v>
      </c>
      <c r="F1107" s="188"/>
      <c r="G1107" s="18"/>
      <c r="H1107" s="18">
        <v>9435</v>
      </c>
      <c r="I1107" s="189"/>
      <c r="J1107" s="189">
        <f t="shared" ref="J1107:J1111" si="93">11360-H$1106</f>
        <v>0</v>
      </c>
      <c r="K1107" s="189">
        <f t="shared" ref="K1107:K1111" si="94">+J1107-I1107</f>
        <v>0</v>
      </c>
      <c r="L1107" s="190" t="s">
        <v>551</v>
      </c>
    </row>
    <row r="1108" spans="1:12" s="180" customFormat="1" ht="8.65" customHeight="1" x14ac:dyDescent="0.15">
      <c r="A1108" s="187" t="s">
        <v>664</v>
      </c>
      <c r="B1108" s="187" t="s">
        <v>685</v>
      </c>
      <c r="C1108" s="187" t="s">
        <v>683</v>
      </c>
      <c r="D1108" s="187" t="s">
        <v>686</v>
      </c>
      <c r="E1108" s="187" t="s">
        <v>318</v>
      </c>
      <c r="F1108" s="188"/>
      <c r="G1108" s="18"/>
      <c r="H1108" s="18">
        <v>5631</v>
      </c>
      <c r="I1108" s="189"/>
      <c r="J1108" s="189">
        <f t="shared" si="93"/>
        <v>0</v>
      </c>
      <c r="K1108" s="189">
        <f t="shared" si="94"/>
        <v>0</v>
      </c>
      <c r="L1108" s="190" t="s">
        <v>551</v>
      </c>
    </row>
    <row r="1109" spans="1:12" s="180" customFormat="1" ht="8.65" customHeight="1" x14ac:dyDescent="0.15">
      <c r="A1109" s="187" t="s">
        <v>664</v>
      </c>
      <c r="B1109" s="187" t="s">
        <v>738</v>
      </c>
      <c r="C1109" s="187" t="s">
        <v>683</v>
      </c>
      <c r="D1109" s="187" t="s">
        <v>739</v>
      </c>
      <c r="E1109" s="187" t="s">
        <v>318</v>
      </c>
      <c r="F1109" s="188"/>
      <c r="G1109" s="18"/>
      <c r="H1109" s="18">
        <v>4608</v>
      </c>
      <c r="I1109" s="189"/>
      <c r="J1109" s="189">
        <f t="shared" si="93"/>
        <v>0</v>
      </c>
      <c r="K1109" s="189">
        <f t="shared" si="94"/>
        <v>0</v>
      </c>
      <c r="L1109" s="190" t="s">
        <v>551</v>
      </c>
    </row>
    <row r="1110" spans="1:12" s="180" customFormat="1" ht="8.65" customHeight="1" x14ac:dyDescent="0.15">
      <c r="A1110" s="187" t="s">
        <v>664</v>
      </c>
      <c r="B1110" s="187" t="s">
        <v>781</v>
      </c>
      <c r="C1110" s="187" t="s">
        <v>683</v>
      </c>
      <c r="D1110" s="187" t="s">
        <v>868</v>
      </c>
      <c r="E1110" s="187" t="s">
        <v>318</v>
      </c>
      <c r="F1110" s="188"/>
      <c r="G1110" s="18"/>
      <c r="H1110" s="18">
        <v>24200</v>
      </c>
      <c r="I1110" s="189"/>
      <c r="J1110" s="189">
        <f t="shared" si="93"/>
        <v>0</v>
      </c>
      <c r="K1110" s="189">
        <f t="shared" si="94"/>
        <v>0</v>
      </c>
      <c r="L1110" s="190" t="s">
        <v>551</v>
      </c>
    </row>
    <row r="1111" spans="1:12" s="180" customFormat="1" ht="8.65" customHeight="1" x14ac:dyDescent="0.15">
      <c r="A1111" s="187" t="s">
        <v>664</v>
      </c>
      <c r="B1111" s="187" t="s">
        <v>844</v>
      </c>
      <c r="C1111" s="187" t="s">
        <v>683</v>
      </c>
      <c r="D1111" s="187" t="s">
        <v>845</v>
      </c>
      <c r="E1111" s="187" t="s">
        <v>318</v>
      </c>
      <c r="F1111" s="188"/>
      <c r="G1111" s="18"/>
      <c r="H1111" s="18">
        <v>50000</v>
      </c>
      <c r="I1111" s="189"/>
      <c r="J1111" s="189">
        <f t="shared" si="93"/>
        <v>0</v>
      </c>
      <c r="K1111" s="189">
        <f t="shared" si="94"/>
        <v>0</v>
      </c>
      <c r="L1111" s="190" t="s">
        <v>551</v>
      </c>
    </row>
    <row r="1112" spans="1:12" s="180" customFormat="1" ht="8.65" customHeight="1" x14ac:dyDescent="0.15">
      <c r="A1112" s="187" t="s">
        <v>664</v>
      </c>
      <c r="B1112" s="187" t="s">
        <v>2159</v>
      </c>
      <c r="C1112" s="187" t="s">
        <v>666</v>
      </c>
      <c r="D1112" s="187" t="s">
        <v>2160</v>
      </c>
      <c r="E1112" s="187" t="s">
        <v>318</v>
      </c>
      <c r="F1112" s="188"/>
      <c r="G1112" s="18"/>
      <c r="H1112" s="18"/>
      <c r="I1112" s="189"/>
      <c r="J1112" s="189">
        <v>5286</v>
      </c>
      <c r="K1112" s="189">
        <f t="shared" ref="K1112:K1158" si="95">+J1112-H1112</f>
        <v>5286</v>
      </c>
      <c r="L1112" s="190" t="s">
        <v>551</v>
      </c>
    </row>
    <row r="1113" spans="1:12" s="180" customFormat="1" ht="8.65" customHeight="1" x14ac:dyDescent="0.15">
      <c r="A1113" s="187" t="s">
        <v>664</v>
      </c>
      <c r="B1113" s="187" t="s">
        <v>2161</v>
      </c>
      <c r="C1113" s="187" t="s">
        <v>666</v>
      </c>
      <c r="D1113" s="187" t="s">
        <v>2162</v>
      </c>
      <c r="E1113" s="187" t="s">
        <v>318</v>
      </c>
      <c r="F1113" s="188"/>
      <c r="G1113" s="18"/>
      <c r="H1113" s="18"/>
      <c r="I1113" s="189"/>
      <c r="J1113" s="189">
        <v>5284</v>
      </c>
      <c r="K1113" s="189">
        <f t="shared" si="95"/>
        <v>5284</v>
      </c>
      <c r="L1113" s="190" t="s">
        <v>551</v>
      </c>
    </row>
    <row r="1114" spans="1:12" s="180" customFormat="1" ht="8.65" customHeight="1" x14ac:dyDescent="0.15">
      <c r="A1114" s="187" t="s">
        <v>664</v>
      </c>
      <c r="B1114" s="187" t="s">
        <v>2163</v>
      </c>
      <c r="C1114" s="187" t="s">
        <v>666</v>
      </c>
      <c r="D1114" s="187" t="s">
        <v>2164</v>
      </c>
      <c r="E1114" s="187" t="s">
        <v>318</v>
      </c>
      <c r="F1114" s="188"/>
      <c r="G1114" s="18"/>
      <c r="H1114" s="18"/>
      <c r="I1114" s="189"/>
      <c r="J1114" s="189">
        <v>5286</v>
      </c>
      <c r="K1114" s="189">
        <f t="shared" si="95"/>
        <v>5286</v>
      </c>
      <c r="L1114" s="190" t="s">
        <v>551</v>
      </c>
    </row>
    <row r="1115" spans="1:12" s="180" customFormat="1" ht="8.65" customHeight="1" x14ac:dyDescent="0.15">
      <c r="A1115" s="187" t="s">
        <v>664</v>
      </c>
      <c r="B1115" s="187" t="s">
        <v>2165</v>
      </c>
      <c r="C1115" s="187" t="s">
        <v>666</v>
      </c>
      <c r="D1115" s="187" t="s">
        <v>2166</v>
      </c>
      <c r="E1115" s="187" t="s">
        <v>318</v>
      </c>
      <c r="F1115" s="188"/>
      <c r="G1115" s="18"/>
      <c r="H1115" s="18"/>
      <c r="I1115" s="189"/>
      <c r="J1115" s="189">
        <v>5286</v>
      </c>
      <c r="K1115" s="189">
        <f t="shared" si="95"/>
        <v>5286</v>
      </c>
      <c r="L1115" s="190" t="s">
        <v>551</v>
      </c>
    </row>
    <row r="1116" spans="1:12" s="180" customFormat="1" ht="8.65" customHeight="1" x14ac:dyDescent="0.15">
      <c r="A1116" s="187" t="s">
        <v>664</v>
      </c>
      <c r="B1116" s="187" t="s">
        <v>797</v>
      </c>
      <c r="C1116" s="187" t="s">
        <v>683</v>
      </c>
      <c r="D1116" s="187" t="s">
        <v>2167</v>
      </c>
      <c r="E1116" s="187" t="s">
        <v>318</v>
      </c>
      <c r="F1116" s="188"/>
      <c r="G1116" s="18"/>
      <c r="H1116" s="18">
        <v>1977</v>
      </c>
      <c r="I1116" s="189"/>
      <c r="J1116" s="189">
        <f>1977-H1116</f>
        <v>0</v>
      </c>
      <c r="K1116" s="189">
        <f>+J1116-I1116</f>
        <v>0</v>
      </c>
      <c r="L1116" s="190" t="s">
        <v>551</v>
      </c>
    </row>
    <row r="1117" spans="1:12" s="180" customFormat="1" ht="8.65" customHeight="1" x14ac:dyDescent="0.15">
      <c r="A1117" s="187" t="s">
        <v>664</v>
      </c>
      <c r="B1117" s="187" t="s">
        <v>2168</v>
      </c>
      <c r="C1117" s="187" t="s">
        <v>683</v>
      </c>
      <c r="D1117" s="187" t="s">
        <v>2169</v>
      </c>
      <c r="E1117" s="187" t="s">
        <v>318</v>
      </c>
      <c r="F1117" s="188"/>
      <c r="G1117" s="18"/>
      <c r="H1117" s="18">
        <v>10000</v>
      </c>
      <c r="I1117" s="189"/>
      <c r="J1117" s="189">
        <f>10000-H1117</f>
        <v>0</v>
      </c>
      <c r="K1117" s="189">
        <f>+J1117-I1117</f>
        <v>0</v>
      </c>
      <c r="L1117" s="190" t="s">
        <v>551</v>
      </c>
    </row>
    <row r="1118" spans="1:12" s="180" customFormat="1" ht="8.65" customHeight="1" x14ac:dyDescent="0.15">
      <c r="A1118" s="187" t="s">
        <v>664</v>
      </c>
      <c r="B1118" s="187" t="s">
        <v>2170</v>
      </c>
      <c r="C1118" s="187" t="s">
        <v>666</v>
      </c>
      <c r="D1118" s="187" t="s">
        <v>2171</v>
      </c>
      <c r="E1118" s="187" t="s">
        <v>318</v>
      </c>
      <c r="F1118" s="188"/>
      <c r="G1118" s="18"/>
      <c r="H1118" s="18"/>
      <c r="I1118" s="189"/>
      <c r="J1118" s="189">
        <v>554</v>
      </c>
      <c r="K1118" s="189">
        <f t="shared" si="95"/>
        <v>554</v>
      </c>
      <c r="L1118" s="190" t="s">
        <v>551</v>
      </c>
    </row>
    <row r="1119" spans="1:12" s="180" customFormat="1" ht="8.65" customHeight="1" x14ac:dyDescent="0.15">
      <c r="A1119" s="187" t="s">
        <v>664</v>
      </c>
      <c r="B1119" s="187" t="s">
        <v>801</v>
      </c>
      <c r="C1119" s="187" t="s">
        <v>666</v>
      </c>
      <c r="D1119" s="187" t="s">
        <v>2172</v>
      </c>
      <c r="E1119" s="187" t="s">
        <v>318</v>
      </c>
      <c r="F1119" s="188"/>
      <c r="G1119" s="18"/>
      <c r="H1119" s="18">
        <v>5091</v>
      </c>
      <c r="I1119" s="189"/>
      <c r="J1119" s="189">
        <f>5091-H$1119</f>
        <v>0</v>
      </c>
      <c r="K1119" s="189">
        <f>+J1119-I$1119</f>
        <v>0</v>
      </c>
      <c r="L1119" s="190" t="s">
        <v>551</v>
      </c>
    </row>
    <row r="1120" spans="1:12" s="180" customFormat="1" ht="8.65" customHeight="1" x14ac:dyDescent="0.15">
      <c r="A1120" s="187" t="s">
        <v>664</v>
      </c>
      <c r="B1120" s="187" t="s">
        <v>2173</v>
      </c>
      <c r="C1120" s="187" t="s">
        <v>683</v>
      </c>
      <c r="D1120" s="187" t="s">
        <v>2174</v>
      </c>
      <c r="E1120" s="187" t="s">
        <v>318</v>
      </c>
      <c r="F1120" s="188"/>
      <c r="G1120" s="18"/>
      <c r="H1120" s="18">
        <v>11340</v>
      </c>
      <c r="I1120" s="189"/>
      <c r="J1120" s="189">
        <f t="shared" ref="J1120:J1136" si="96">5091-H$1119</f>
        <v>0</v>
      </c>
      <c r="K1120" s="189">
        <f t="shared" ref="K1120:K1136" si="97">+J1120-I$1119</f>
        <v>0</v>
      </c>
      <c r="L1120" s="190" t="s">
        <v>551</v>
      </c>
    </row>
    <row r="1121" spans="1:12" s="180" customFormat="1" ht="8.65" customHeight="1" x14ac:dyDescent="0.15">
      <c r="A1121" s="187" t="s">
        <v>664</v>
      </c>
      <c r="B1121" s="187" t="s">
        <v>742</v>
      </c>
      <c r="C1121" s="187" t="s">
        <v>683</v>
      </c>
      <c r="D1121" s="187" t="s">
        <v>743</v>
      </c>
      <c r="E1121" s="187" t="s">
        <v>318</v>
      </c>
      <c r="F1121" s="188"/>
      <c r="G1121" s="18"/>
      <c r="H1121" s="18">
        <v>2975</v>
      </c>
      <c r="I1121" s="189"/>
      <c r="J1121" s="189">
        <f t="shared" si="96"/>
        <v>0</v>
      </c>
      <c r="K1121" s="189">
        <f t="shared" si="97"/>
        <v>0</v>
      </c>
      <c r="L1121" s="190" t="s">
        <v>551</v>
      </c>
    </row>
    <row r="1122" spans="1:12" s="180" customFormat="1" ht="8.65" customHeight="1" x14ac:dyDescent="0.15">
      <c r="A1122" s="187" t="s">
        <v>664</v>
      </c>
      <c r="B1122" s="187" t="s">
        <v>2083</v>
      </c>
      <c r="C1122" s="187" t="s">
        <v>683</v>
      </c>
      <c r="D1122" s="187" t="s">
        <v>2084</v>
      </c>
      <c r="E1122" s="187" t="s">
        <v>318</v>
      </c>
      <c r="F1122" s="188"/>
      <c r="G1122" s="18"/>
      <c r="H1122" s="18">
        <v>9218</v>
      </c>
      <c r="I1122" s="189"/>
      <c r="J1122" s="189">
        <f t="shared" si="96"/>
        <v>0</v>
      </c>
      <c r="K1122" s="189">
        <f t="shared" si="97"/>
        <v>0</v>
      </c>
      <c r="L1122" s="190" t="s">
        <v>551</v>
      </c>
    </row>
    <row r="1123" spans="1:12" s="180" customFormat="1" ht="8.65" customHeight="1" x14ac:dyDescent="0.15">
      <c r="A1123" s="187" t="s">
        <v>664</v>
      </c>
      <c r="B1123" s="187" t="s">
        <v>2175</v>
      </c>
      <c r="C1123" s="187" t="s">
        <v>683</v>
      </c>
      <c r="D1123" s="187" t="s">
        <v>2176</v>
      </c>
      <c r="E1123" s="187" t="s">
        <v>318</v>
      </c>
      <c r="F1123" s="188"/>
      <c r="G1123" s="18"/>
      <c r="H1123" s="18">
        <v>9218</v>
      </c>
      <c r="I1123" s="189"/>
      <c r="J1123" s="189">
        <f t="shared" si="96"/>
        <v>0</v>
      </c>
      <c r="K1123" s="189">
        <f t="shared" si="97"/>
        <v>0</v>
      </c>
      <c r="L1123" s="190" t="s">
        <v>551</v>
      </c>
    </row>
    <row r="1124" spans="1:12" s="180" customFormat="1" ht="8.65" customHeight="1" x14ac:dyDescent="0.15">
      <c r="A1124" s="187" t="s">
        <v>664</v>
      </c>
      <c r="B1124" s="187" t="s">
        <v>746</v>
      </c>
      <c r="C1124" s="187" t="s">
        <v>683</v>
      </c>
      <c r="D1124" s="187" t="s">
        <v>962</v>
      </c>
      <c r="E1124" s="187" t="s">
        <v>318</v>
      </c>
      <c r="F1124" s="188"/>
      <c r="G1124" s="18"/>
      <c r="H1124" s="18">
        <v>5107</v>
      </c>
      <c r="I1124" s="189"/>
      <c r="J1124" s="189">
        <f t="shared" si="96"/>
        <v>0</v>
      </c>
      <c r="K1124" s="189">
        <f t="shared" si="97"/>
        <v>0</v>
      </c>
      <c r="L1124" s="190" t="s">
        <v>551</v>
      </c>
    </row>
    <row r="1125" spans="1:12" s="180" customFormat="1" ht="8.65" customHeight="1" x14ac:dyDescent="0.15">
      <c r="A1125" s="187" t="s">
        <v>664</v>
      </c>
      <c r="B1125" s="187" t="s">
        <v>1325</v>
      </c>
      <c r="C1125" s="187" t="s">
        <v>683</v>
      </c>
      <c r="D1125" s="187" t="s">
        <v>2177</v>
      </c>
      <c r="E1125" s="187" t="s">
        <v>318</v>
      </c>
      <c r="F1125" s="188"/>
      <c r="G1125" s="18"/>
      <c r="H1125" s="18">
        <v>2103</v>
      </c>
      <c r="I1125" s="189"/>
      <c r="J1125" s="189">
        <f t="shared" si="96"/>
        <v>0</v>
      </c>
      <c r="K1125" s="189">
        <f t="shared" si="97"/>
        <v>0</v>
      </c>
      <c r="L1125" s="190" t="s">
        <v>551</v>
      </c>
    </row>
    <row r="1126" spans="1:12" s="180" customFormat="1" ht="8.65" customHeight="1" x14ac:dyDescent="0.15">
      <c r="A1126" s="187" t="s">
        <v>664</v>
      </c>
      <c r="B1126" s="187" t="s">
        <v>991</v>
      </c>
      <c r="C1126" s="187" t="s">
        <v>683</v>
      </c>
      <c r="D1126" s="187" t="s">
        <v>992</v>
      </c>
      <c r="E1126" s="187" t="s">
        <v>318</v>
      </c>
      <c r="F1126" s="188"/>
      <c r="G1126" s="18"/>
      <c r="H1126" s="18">
        <v>4234</v>
      </c>
      <c r="I1126" s="189"/>
      <c r="J1126" s="189">
        <f t="shared" si="96"/>
        <v>0</v>
      </c>
      <c r="K1126" s="189">
        <f t="shared" si="97"/>
        <v>0</v>
      </c>
      <c r="L1126" s="190" t="s">
        <v>551</v>
      </c>
    </row>
    <row r="1127" spans="1:12" s="180" customFormat="1" ht="8.65" customHeight="1" x14ac:dyDescent="0.15">
      <c r="A1127" s="187" t="s">
        <v>664</v>
      </c>
      <c r="B1127" s="187" t="s">
        <v>854</v>
      </c>
      <c r="C1127" s="187" t="s">
        <v>683</v>
      </c>
      <c r="D1127" s="187" t="s">
        <v>855</v>
      </c>
      <c r="E1127" s="187" t="s">
        <v>318</v>
      </c>
      <c r="F1127" s="188"/>
      <c r="G1127" s="18"/>
      <c r="H1127" s="18">
        <v>6290</v>
      </c>
      <c r="I1127" s="189"/>
      <c r="J1127" s="189">
        <f t="shared" si="96"/>
        <v>0</v>
      </c>
      <c r="K1127" s="189">
        <f t="shared" si="97"/>
        <v>0</v>
      </c>
      <c r="L1127" s="190" t="s">
        <v>551</v>
      </c>
    </row>
    <row r="1128" spans="1:12" s="180" customFormat="1" ht="8.65" customHeight="1" x14ac:dyDescent="0.15">
      <c r="A1128" s="187" t="s">
        <v>664</v>
      </c>
      <c r="B1128" s="187" t="s">
        <v>748</v>
      </c>
      <c r="C1128" s="187" t="s">
        <v>683</v>
      </c>
      <c r="D1128" s="187" t="s">
        <v>749</v>
      </c>
      <c r="E1128" s="187" t="s">
        <v>318</v>
      </c>
      <c r="F1128" s="188"/>
      <c r="G1128" s="18"/>
      <c r="H1128" s="18">
        <v>2094</v>
      </c>
      <c r="I1128" s="189"/>
      <c r="J1128" s="189">
        <f t="shared" si="96"/>
        <v>0</v>
      </c>
      <c r="K1128" s="189">
        <f t="shared" si="97"/>
        <v>0</v>
      </c>
      <c r="L1128" s="190" t="s">
        <v>551</v>
      </c>
    </row>
    <row r="1129" spans="1:12" s="180" customFormat="1" ht="8.65" customHeight="1" x14ac:dyDescent="0.15">
      <c r="A1129" s="187" t="s">
        <v>664</v>
      </c>
      <c r="B1129" s="187" t="s">
        <v>946</v>
      </c>
      <c r="C1129" s="187" t="s">
        <v>683</v>
      </c>
      <c r="D1129" s="187" t="s">
        <v>947</v>
      </c>
      <c r="E1129" s="187" t="s">
        <v>318</v>
      </c>
      <c r="F1129" s="188"/>
      <c r="G1129" s="18"/>
      <c r="H1129" s="18">
        <v>1080</v>
      </c>
      <c r="I1129" s="189"/>
      <c r="J1129" s="189">
        <f t="shared" si="96"/>
        <v>0</v>
      </c>
      <c r="K1129" s="189">
        <f t="shared" si="97"/>
        <v>0</v>
      </c>
      <c r="L1129" s="190" t="s">
        <v>551</v>
      </c>
    </row>
    <row r="1130" spans="1:12" s="180" customFormat="1" ht="8.65" customHeight="1" x14ac:dyDescent="0.15">
      <c r="A1130" s="187" t="s">
        <v>664</v>
      </c>
      <c r="B1130" s="187" t="s">
        <v>2178</v>
      </c>
      <c r="C1130" s="187" t="s">
        <v>683</v>
      </c>
      <c r="D1130" s="187" t="s">
        <v>2179</v>
      </c>
      <c r="E1130" s="187" t="s">
        <v>318</v>
      </c>
      <c r="F1130" s="188"/>
      <c r="G1130" s="18"/>
      <c r="H1130" s="18">
        <v>1488</v>
      </c>
      <c r="I1130" s="189"/>
      <c r="J1130" s="189">
        <f t="shared" si="96"/>
        <v>0</v>
      </c>
      <c r="K1130" s="189">
        <f t="shared" si="97"/>
        <v>0</v>
      </c>
      <c r="L1130" s="190" t="s">
        <v>551</v>
      </c>
    </row>
    <row r="1131" spans="1:12" s="180" customFormat="1" ht="8.65" customHeight="1" x14ac:dyDescent="0.15">
      <c r="A1131" s="187" t="s">
        <v>664</v>
      </c>
      <c r="B1131" s="187" t="s">
        <v>702</v>
      </c>
      <c r="C1131" s="187" t="s">
        <v>666</v>
      </c>
      <c r="D1131" s="187" t="s">
        <v>872</v>
      </c>
      <c r="E1131" s="187" t="s">
        <v>318</v>
      </c>
      <c r="F1131" s="188"/>
      <c r="G1131" s="18"/>
      <c r="H1131" s="18">
        <v>10280</v>
      </c>
      <c r="I1131" s="189"/>
      <c r="J1131" s="189">
        <f t="shared" si="96"/>
        <v>0</v>
      </c>
      <c r="K1131" s="189">
        <f t="shared" si="97"/>
        <v>0</v>
      </c>
      <c r="L1131" s="190" t="s">
        <v>551</v>
      </c>
    </row>
    <row r="1132" spans="1:12" s="180" customFormat="1" ht="8.65" customHeight="1" x14ac:dyDescent="0.15">
      <c r="A1132" s="187" t="s">
        <v>664</v>
      </c>
      <c r="B1132" s="187" t="s">
        <v>964</v>
      </c>
      <c r="C1132" s="187" t="s">
        <v>683</v>
      </c>
      <c r="D1132" s="187" t="s">
        <v>965</v>
      </c>
      <c r="E1132" s="187" t="s">
        <v>318</v>
      </c>
      <c r="F1132" s="188"/>
      <c r="G1132" s="18"/>
      <c r="H1132" s="18">
        <v>8651</v>
      </c>
      <c r="I1132" s="189"/>
      <c r="J1132" s="189">
        <f t="shared" si="96"/>
        <v>0</v>
      </c>
      <c r="K1132" s="189">
        <f t="shared" si="97"/>
        <v>0</v>
      </c>
      <c r="L1132" s="190" t="s">
        <v>551</v>
      </c>
    </row>
    <row r="1133" spans="1:12" s="180" customFormat="1" ht="8.65" customHeight="1" x14ac:dyDescent="0.15">
      <c r="A1133" s="187" t="s">
        <v>664</v>
      </c>
      <c r="B1133" s="187" t="s">
        <v>704</v>
      </c>
      <c r="C1133" s="187" t="s">
        <v>683</v>
      </c>
      <c r="D1133" s="187" t="s">
        <v>966</v>
      </c>
      <c r="E1133" s="187" t="s">
        <v>318</v>
      </c>
      <c r="F1133" s="188"/>
      <c r="G1133" s="18"/>
      <c r="H1133" s="18">
        <v>1464</v>
      </c>
      <c r="I1133" s="189"/>
      <c r="J1133" s="189">
        <f t="shared" si="96"/>
        <v>0</v>
      </c>
      <c r="K1133" s="189">
        <f t="shared" si="97"/>
        <v>0</v>
      </c>
      <c r="L1133" s="190" t="s">
        <v>551</v>
      </c>
    </row>
    <row r="1134" spans="1:12" s="180" customFormat="1" ht="8.65" customHeight="1" x14ac:dyDescent="0.15">
      <c r="A1134" s="187" t="s">
        <v>664</v>
      </c>
      <c r="B1134" s="187" t="s">
        <v>824</v>
      </c>
      <c r="C1134" s="187" t="s">
        <v>683</v>
      </c>
      <c r="D1134" s="187" t="s">
        <v>825</v>
      </c>
      <c r="E1134" s="187" t="s">
        <v>318</v>
      </c>
      <c r="F1134" s="188"/>
      <c r="G1134" s="18"/>
      <c r="H1134" s="18">
        <v>1808</v>
      </c>
      <c r="I1134" s="189"/>
      <c r="J1134" s="189">
        <f t="shared" si="96"/>
        <v>0</v>
      </c>
      <c r="K1134" s="189">
        <f t="shared" si="97"/>
        <v>0</v>
      </c>
      <c r="L1134" s="190" t="s">
        <v>551</v>
      </c>
    </row>
    <row r="1135" spans="1:12" s="180" customFormat="1" ht="8.65" customHeight="1" x14ac:dyDescent="0.15">
      <c r="A1135" s="187" t="s">
        <v>664</v>
      </c>
      <c r="B1135" s="187" t="s">
        <v>826</v>
      </c>
      <c r="C1135" s="187" t="s">
        <v>683</v>
      </c>
      <c r="D1135" s="187" t="s">
        <v>827</v>
      </c>
      <c r="E1135" s="187" t="s">
        <v>318</v>
      </c>
      <c r="F1135" s="188"/>
      <c r="G1135" s="18"/>
      <c r="H1135" s="18">
        <v>24200</v>
      </c>
      <c r="I1135" s="189"/>
      <c r="J1135" s="189">
        <f t="shared" si="96"/>
        <v>0</v>
      </c>
      <c r="K1135" s="189">
        <f t="shared" si="97"/>
        <v>0</v>
      </c>
      <c r="L1135" s="190" t="s">
        <v>551</v>
      </c>
    </row>
    <row r="1136" spans="1:12" s="180" customFormat="1" ht="8.65" customHeight="1" x14ac:dyDescent="0.15">
      <c r="A1136" s="187" t="s">
        <v>664</v>
      </c>
      <c r="B1136" s="187" t="s">
        <v>830</v>
      </c>
      <c r="C1136" s="187" t="s">
        <v>683</v>
      </c>
      <c r="D1136" s="187" t="s">
        <v>831</v>
      </c>
      <c r="E1136" s="187" t="s">
        <v>318</v>
      </c>
      <c r="F1136" s="188"/>
      <c r="G1136" s="18"/>
      <c r="H1136" s="18">
        <v>10978</v>
      </c>
      <c r="I1136" s="189"/>
      <c r="J1136" s="189">
        <f t="shared" si="96"/>
        <v>0</v>
      </c>
      <c r="K1136" s="189">
        <f t="shared" si="97"/>
        <v>0</v>
      </c>
      <c r="L1136" s="190" t="s">
        <v>551</v>
      </c>
    </row>
    <row r="1137" spans="1:21" s="180" customFormat="1" ht="10.15" customHeight="1" x14ac:dyDescent="0.15">
      <c r="A1137" s="270" t="s">
        <v>320</v>
      </c>
      <c r="B1137" s="270"/>
      <c r="C1137" s="270"/>
      <c r="D1137" s="270"/>
      <c r="E1137" s="270"/>
      <c r="F1137" s="270"/>
      <c r="G1137" s="191"/>
      <c r="H1137" s="191"/>
      <c r="I1137" s="192"/>
      <c r="J1137" s="192">
        <f>SUM(J1104:J1136)</f>
        <v>42759</v>
      </c>
      <c r="K1137" s="192">
        <f>SUM(K1104:K1136)</f>
        <v>42759</v>
      </c>
      <c r="L1137" s="241" t="s">
        <v>551</v>
      </c>
    </row>
    <row r="1138" spans="1:21" s="180" customFormat="1" ht="13.15" customHeight="1" x14ac:dyDescent="0.2">
      <c r="A1138" s="197"/>
      <c r="B1138" s="197"/>
      <c r="C1138" s="197"/>
      <c r="D1138" s="197"/>
      <c r="E1138" s="197"/>
      <c r="F1138" s="197"/>
      <c r="G1138" s="197"/>
      <c r="H1138" s="198"/>
      <c r="I1138" s="199"/>
      <c r="J1138" s="199"/>
      <c r="K1138" s="199"/>
      <c r="L1138" s="197"/>
      <c r="M1138" s="197"/>
      <c r="N1138" s="197"/>
      <c r="O1138" s="197"/>
      <c r="P1138" s="197"/>
      <c r="Q1138" s="197"/>
      <c r="R1138" s="197"/>
      <c r="S1138" s="197"/>
      <c r="T1138" s="197"/>
      <c r="U1138" s="197"/>
    </row>
    <row r="1139" spans="1:21" s="180" customFormat="1" ht="8.65" customHeight="1" x14ac:dyDescent="0.15">
      <c r="A1139" s="187" t="s">
        <v>664</v>
      </c>
      <c r="B1139" s="187" t="s">
        <v>665</v>
      </c>
      <c r="C1139" s="187" t="s">
        <v>666</v>
      </c>
      <c r="D1139" s="187" t="s">
        <v>667</v>
      </c>
      <c r="E1139" s="187" t="s">
        <v>322</v>
      </c>
      <c r="F1139" s="187" t="s">
        <v>323</v>
      </c>
      <c r="G1139" s="18"/>
      <c r="H1139" s="18"/>
      <c r="I1139" s="189"/>
      <c r="J1139" s="189">
        <v>38261</v>
      </c>
      <c r="K1139" s="189">
        <f>+J1139-I1139</f>
        <v>38261</v>
      </c>
      <c r="L1139" s="190" t="s">
        <v>551</v>
      </c>
    </row>
    <row r="1140" spans="1:21" s="180" customFormat="1" ht="8.4499999999999993" customHeight="1" x14ac:dyDescent="0.15">
      <c r="A1140" s="187" t="s">
        <v>664</v>
      </c>
      <c r="B1140" s="187" t="s">
        <v>764</v>
      </c>
      <c r="C1140" s="187" t="s">
        <v>666</v>
      </c>
      <c r="D1140" s="187" t="s">
        <v>765</v>
      </c>
      <c r="E1140" s="187" t="s">
        <v>322</v>
      </c>
      <c r="F1140" s="188"/>
      <c r="G1140" s="18"/>
      <c r="H1140" s="18"/>
      <c r="I1140" s="189"/>
      <c r="J1140" s="189">
        <v>18750</v>
      </c>
      <c r="K1140" s="189">
        <f t="shared" si="95"/>
        <v>18750</v>
      </c>
      <c r="L1140" s="190" t="s">
        <v>551</v>
      </c>
    </row>
    <row r="1141" spans="1:21" s="180" customFormat="1" ht="8.4499999999999993" customHeight="1" x14ac:dyDescent="0.15">
      <c r="A1141" s="187" t="s">
        <v>664</v>
      </c>
      <c r="B1141" s="187" t="s">
        <v>732</v>
      </c>
      <c r="C1141" s="187" t="s">
        <v>666</v>
      </c>
      <c r="D1141" s="187" t="s">
        <v>733</v>
      </c>
      <c r="E1141" s="187" t="s">
        <v>322</v>
      </c>
      <c r="F1141" s="188"/>
      <c r="G1141" s="18"/>
      <c r="H1141" s="18"/>
      <c r="I1141" s="189"/>
      <c r="J1141" s="189">
        <v>33000</v>
      </c>
      <c r="K1141" s="189">
        <f t="shared" si="95"/>
        <v>33000</v>
      </c>
      <c r="L1141" s="190" t="s">
        <v>551</v>
      </c>
    </row>
    <row r="1142" spans="1:21" s="180" customFormat="1" ht="8.4499999999999993" customHeight="1" x14ac:dyDescent="0.15">
      <c r="A1142" s="187" t="s">
        <v>664</v>
      </c>
      <c r="B1142" s="187" t="s">
        <v>682</v>
      </c>
      <c r="C1142" s="187" t="s">
        <v>683</v>
      </c>
      <c r="D1142" s="187" t="s">
        <v>684</v>
      </c>
      <c r="E1142" s="187" t="s">
        <v>322</v>
      </c>
      <c r="F1142" s="188"/>
      <c r="G1142" s="18"/>
      <c r="H1142" s="18">
        <v>3960</v>
      </c>
      <c r="I1142" s="189"/>
      <c r="J1142" s="189">
        <f>3960-H1142</f>
        <v>0</v>
      </c>
      <c r="K1142" s="189">
        <f>+J1142-I1142</f>
        <v>0</v>
      </c>
      <c r="L1142" s="190" t="s">
        <v>551</v>
      </c>
    </row>
    <row r="1143" spans="1:21" s="180" customFormat="1" ht="8.4499999999999993" customHeight="1" x14ac:dyDescent="0.15">
      <c r="A1143" s="187" t="s">
        <v>664</v>
      </c>
      <c r="B1143" s="187" t="s">
        <v>969</v>
      </c>
      <c r="C1143" s="187" t="s">
        <v>683</v>
      </c>
      <c r="D1143" s="187" t="s">
        <v>970</v>
      </c>
      <c r="E1143" s="187" t="s">
        <v>322</v>
      </c>
      <c r="F1143" s="188"/>
      <c r="G1143" s="18"/>
      <c r="H1143" s="18">
        <v>2100</v>
      </c>
      <c r="I1143" s="189"/>
      <c r="J1143" s="189">
        <f>2100-H1143</f>
        <v>0</v>
      </c>
      <c r="K1143" s="189">
        <f>+J1143-I1143</f>
        <v>0</v>
      </c>
      <c r="L1143" s="190" t="s">
        <v>551</v>
      </c>
    </row>
    <row r="1144" spans="1:21" s="180" customFormat="1" ht="8.4499999999999993" customHeight="1" x14ac:dyDescent="0.15">
      <c r="A1144" s="187" t="s">
        <v>664</v>
      </c>
      <c r="B1144" s="187" t="s">
        <v>2180</v>
      </c>
      <c r="C1144" s="187" t="s">
        <v>666</v>
      </c>
      <c r="D1144" s="187" t="s">
        <v>2181</v>
      </c>
      <c r="E1144" s="187" t="s">
        <v>322</v>
      </c>
      <c r="F1144" s="188"/>
      <c r="G1144" s="18"/>
      <c r="H1144" s="18"/>
      <c r="I1144" s="189"/>
      <c r="J1144" s="189">
        <v>0</v>
      </c>
      <c r="K1144" s="189">
        <f t="shared" si="95"/>
        <v>0</v>
      </c>
      <c r="L1144" s="190" t="s">
        <v>551</v>
      </c>
    </row>
    <row r="1145" spans="1:21" s="180" customFormat="1" ht="8.4499999999999993" customHeight="1" x14ac:dyDescent="0.15">
      <c r="A1145" s="187" t="s">
        <v>664</v>
      </c>
      <c r="B1145" s="187" t="s">
        <v>2182</v>
      </c>
      <c r="C1145" s="187" t="s">
        <v>676</v>
      </c>
      <c r="D1145" s="187" t="s">
        <v>2183</v>
      </c>
      <c r="E1145" s="187" t="s">
        <v>322</v>
      </c>
      <c r="F1145" s="188"/>
      <c r="G1145" s="18"/>
      <c r="H1145" s="18"/>
      <c r="I1145" s="189"/>
      <c r="J1145" s="189">
        <v>72000</v>
      </c>
      <c r="K1145" s="189">
        <f t="shared" si="95"/>
        <v>72000</v>
      </c>
      <c r="L1145" s="190" t="s">
        <v>551</v>
      </c>
    </row>
    <row r="1146" spans="1:21" s="180" customFormat="1" ht="8.4499999999999993" customHeight="1" x14ac:dyDescent="0.15">
      <c r="A1146" s="187" t="s">
        <v>664</v>
      </c>
      <c r="B1146" s="187" t="s">
        <v>691</v>
      </c>
      <c r="C1146" s="187" t="s">
        <v>683</v>
      </c>
      <c r="D1146" s="187" t="s">
        <v>692</v>
      </c>
      <c r="E1146" s="187" t="s">
        <v>322</v>
      </c>
      <c r="F1146" s="188"/>
      <c r="G1146" s="18"/>
      <c r="H1146" s="18">
        <v>9000</v>
      </c>
      <c r="I1146" s="189"/>
      <c r="J1146" s="189">
        <f>9000-H1146</f>
        <v>0</v>
      </c>
      <c r="K1146" s="189">
        <f>+J1146-I1146</f>
        <v>0</v>
      </c>
      <c r="L1146" s="190" t="s">
        <v>551</v>
      </c>
    </row>
    <row r="1147" spans="1:21" s="180" customFormat="1" ht="8.4499999999999993" customHeight="1" x14ac:dyDescent="0.15">
      <c r="A1147" s="187" t="s">
        <v>664</v>
      </c>
      <c r="B1147" s="187" t="s">
        <v>1901</v>
      </c>
      <c r="C1147" s="187" t="s">
        <v>676</v>
      </c>
      <c r="D1147" s="187" t="s">
        <v>1902</v>
      </c>
      <c r="E1147" s="187" t="s">
        <v>322</v>
      </c>
      <c r="F1147" s="188"/>
      <c r="G1147" s="18"/>
      <c r="H1147" s="18">
        <v>302075</v>
      </c>
      <c r="I1147" s="189"/>
      <c r="J1147" s="189">
        <f>500000-H1147</f>
        <v>197925</v>
      </c>
      <c r="K1147" s="189">
        <f>+J1147-I1147</f>
        <v>197925</v>
      </c>
      <c r="L1147" s="190" t="s">
        <v>551</v>
      </c>
    </row>
    <row r="1148" spans="1:21" s="180" customFormat="1" ht="8.65" customHeight="1" x14ac:dyDescent="0.15">
      <c r="A1148" s="187" t="s">
        <v>664</v>
      </c>
      <c r="B1148" s="187" t="s">
        <v>2184</v>
      </c>
      <c r="C1148" s="187" t="s">
        <v>683</v>
      </c>
      <c r="D1148" s="187" t="s">
        <v>2185</v>
      </c>
      <c r="E1148" s="187" t="s">
        <v>322</v>
      </c>
      <c r="F1148" s="188"/>
      <c r="G1148" s="18"/>
      <c r="H1148" s="18">
        <v>10000</v>
      </c>
      <c r="I1148" s="189"/>
      <c r="J1148" s="189">
        <f>10000-H$1148</f>
        <v>0</v>
      </c>
      <c r="K1148" s="189">
        <f>+J1148-I$1148</f>
        <v>0</v>
      </c>
      <c r="L1148" s="190" t="s">
        <v>551</v>
      </c>
    </row>
    <row r="1149" spans="1:21" s="180" customFormat="1" ht="8.4499999999999993" customHeight="1" x14ac:dyDescent="0.15">
      <c r="A1149" s="187" t="s">
        <v>664</v>
      </c>
      <c r="B1149" s="187" t="s">
        <v>844</v>
      </c>
      <c r="C1149" s="187" t="s">
        <v>683</v>
      </c>
      <c r="D1149" s="187" t="s">
        <v>845</v>
      </c>
      <c r="E1149" s="187" t="s">
        <v>322</v>
      </c>
      <c r="F1149" s="188"/>
      <c r="G1149" s="18"/>
      <c r="H1149" s="18">
        <v>26000</v>
      </c>
      <c r="I1149" s="189"/>
      <c r="J1149" s="189">
        <f t="shared" ref="J1149:J1154" si="98">10000-H$1148</f>
        <v>0</v>
      </c>
      <c r="K1149" s="189">
        <f t="shared" ref="K1149:K1154" si="99">+J1149-I$1148</f>
        <v>0</v>
      </c>
      <c r="L1149" s="190" t="s">
        <v>551</v>
      </c>
    </row>
    <row r="1150" spans="1:21" s="206" customFormat="1" ht="8.65" customHeight="1" x14ac:dyDescent="0.15">
      <c r="A1150" s="202" t="s">
        <v>664</v>
      </c>
      <c r="B1150" s="202" t="s">
        <v>799</v>
      </c>
      <c r="C1150" s="202" t="s">
        <v>666</v>
      </c>
      <c r="D1150" s="202" t="s">
        <v>800</v>
      </c>
      <c r="E1150" s="202" t="s">
        <v>322</v>
      </c>
      <c r="F1150" s="203"/>
      <c r="G1150" s="204"/>
      <c r="H1150" s="204">
        <v>68000</v>
      </c>
      <c r="I1150" s="205"/>
      <c r="J1150" s="189">
        <f t="shared" si="98"/>
        <v>0</v>
      </c>
      <c r="K1150" s="189">
        <f t="shared" si="99"/>
        <v>0</v>
      </c>
      <c r="L1150" s="242">
        <v>6150</v>
      </c>
    </row>
    <row r="1151" spans="1:21" s="180" customFormat="1" ht="8.4499999999999993" customHeight="1" x14ac:dyDescent="0.15">
      <c r="A1151" s="187" t="s">
        <v>664</v>
      </c>
      <c r="B1151" s="187" t="s">
        <v>803</v>
      </c>
      <c r="C1151" s="187" t="s">
        <v>683</v>
      </c>
      <c r="D1151" s="187" t="s">
        <v>869</v>
      </c>
      <c r="E1151" s="187" t="s">
        <v>322</v>
      </c>
      <c r="F1151" s="188"/>
      <c r="G1151" s="18"/>
      <c r="H1151" s="18">
        <v>5750</v>
      </c>
      <c r="I1151" s="189"/>
      <c r="J1151" s="189">
        <f t="shared" si="98"/>
        <v>0</v>
      </c>
      <c r="K1151" s="189">
        <f t="shared" si="99"/>
        <v>0</v>
      </c>
      <c r="L1151" s="190" t="s">
        <v>551</v>
      </c>
    </row>
    <row r="1152" spans="1:21" s="180" customFormat="1" ht="8.65" customHeight="1" x14ac:dyDescent="0.15">
      <c r="A1152" s="187" t="s">
        <v>664</v>
      </c>
      <c r="B1152" s="187" t="s">
        <v>742</v>
      </c>
      <c r="C1152" s="187" t="s">
        <v>683</v>
      </c>
      <c r="D1152" s="187" t="s">
        <v>743</v>
      </c>
      <c r="E1152" s="187" t="s">
        <v>322</v>
      </c>
      <c r="F1152" s="188"/>
      <c r="G1152" s="18"/>
      <c r="H1152" s="18">
        <v>2520</v>
      </c>
      <c r="I1152" s="189"/>
      <c r="J1152" s="189">
        <f t="shared" si="98"/>
        <v>0</v>
      </c>
      <c r="K1152" s="189">
        <f t="shared" si="99"/>
        <v>0</v>
      </c>
      <c r="L1152" s="190" t="s">
        <v>551</v>
      </c>
    </row>
    <row r="1153" spans="1:23" s="180" customFormat="1" ht="8.4499999999999993" customHeight="1" x14ac:dyDescent="0.15">
      <c r="A1153" s="187" t="s">
        <v>664</v>
      </c>
      <c r="B1153" s="187" t="s">
        <v>805</v>
      </c>
      <c r="C1153" s="187" t="s">
        <v>683</v>
      </c>
      <c r="D1153" s="187" t="s">
        <v>806</v>
      </c>
      <c r="E1153" s="187" t="s">
        <v>322</v>
      </c>
      <c r="F1153" s="188"/>
      <c r="G1153" s="18"/>
      <c r="H1153" s="18">
        <v>4440</v>
      </c>
      <c r="I1153" s="189"/>
      <c r="J1153" s="189">
        <f t="shared" si="98"/>
        <v>0</v>
      </c>
      <c r="K1153" s="189">
        <f t="shared" si="99"/>
        <v>0</v>
      </c>
      <c r="L1153" s="190" t="s">
        <v>551</v>
      </c>
    </row>
    <row r="1154" spans="1:23" s="180" customFormat="1" ht="8.4499999999999993" customHeight="1" x14ac:dyDescent="0.15">
      <c r="A1154" s="187" t="s">
        <v>664</v>
      </c>
      <c r="B1154" s="187" t="s">
        <v>704</v>
      </c>
      <c r="C1154" s="187" t="s">
        <v>683</v>
      </c>
      <c r="D1154" s="187" t="s">
        <v>2186</v>
      </c>
      <c r="E1154" s="187" t="s">
        <v>322</v>
      </c>
      <c r="F1154" s="188"/>
      <c r="G1154" s="18"/>
      <c r="H1154" s="18">
        <v>1800</v>
      </c>
      <c r="I1154" s="189"/>
      <c r="J1154" s="189">
        <f t="shared" si="98"/>
        <v>0</v>
      </c>
      <c r="K1154" s="189">
        <f t="shared" si="99"/>
        <v>0</v>
      </c>
      <c r="L1154" s="190" t="s">
        <v>551</v>
      </c>
    </row>
    <row r="1155" spans="1:23" s="180" customFormat="1" ht="8.4499999999999993" customHeight="1" x14ac:dyDescent="0.15">
      <c r="A1155" s="187" t="s">
        <v>664</v>
      </c>
      <c r="B1155" s="187" t="s">
        <v>2101</v>
      </c>
      <c r="C1155" s="187" t="s">
        <v>707</v>
      </c>
      <c r="D1155" s="187" t="s">
        <v>2102</v>
      </c>
      <c r="E1155" s="187" t="s">
        <v>322</v>
      </c>
      <c r="F1155" s="188"/>
      <c r="G1155" s="18"/>
      <c r="H1155" s="18">
        <v>6488</v>
      </c>
      <c r="I1155" s="189"/>
      <c r="J1155" s="189">
        <f>25000-H$1155</f>
        <v>18512</v>
      </c>
      <c r="K1155" s="189">
        <f>+J1155-I1155</f>
        <v>18512</v>
      </c>
      <c r="L1155" s="190" t="s">
        <v>551</v>
      </c>
    </row>
    <row r="1156" spans="1:23" s="180" customFormat="1" ht="8.4499999999999993" customHeight="1" x14ac:dyDescent="0.15">
      <c r="A1156" s="187" t="s">
        <v>664</v>
      </c>
      <c r="B1156" s="187" t="s">
        <v>1281</v>
      </c>
      <c r="C1156" s="187" t="s">
        <v>714</v>
      </c>
      <c r="D1156" s="187" t="s">
        <v>1282</v>
      </c>
      <c r="E1156" s="187" t="s">
        <v>322</v>
      </c>
      <c r="F1156" s="188"/>
      <c r="G1156" s="18"/>
      <c r="H1156" s="18"/>
      <c r="I1156" s="189"/>
      <c r="J1156" s="189">
        <v>25800</v>
      </c>
      <c r="K1156" s="189">
        <f t="shared" si="95"/>
        <v>25800</v>
      </c>
      <c r="L1156" s="190" t="s">
        <v>551</v>
      </c>
    </row>
    <row r="1157" spans="1:23" s="180" customFormat="1" ht="8.4499999999999993" customHeight="1" x14ac:dyDescent="0.15">
      <c r="A1157" s="187" t="s">
        <v>664</v>
      </c>
      <c r="B1157" s="187" t="s">
        <v>758</v>
      </c>
      <c r="C1157" s="187" t="s">
        <v>714</v>
      </c>
      <c r="D1157" s="187" t="s">
        <v>759</v>
      </c>
      <c r="E1157" s="187" t="s">
        <v>322</v>
      </c>
      <c r="F1157" s="188"/>
      <c r="G1157" s="18"/>
      <c r="H1157" s="18"/>
      <c r="I1157" s="189"/>
      <c r="J1157" s="189">
        <v>13200</v>
      </c>
      <c r="K1157" s="189">
        <f t="shared" si="95"/>
        <v>13200</v>
      </c>
      <c r="L1157" s="190" t="s">
        <v>551</v>
      </c>
    </row>
    <row r="1158" spans="1:23" s="180" customFormat="1" ht="8.4499999999999993" customHeight="1" x14ac:dyDescent="0.15">
      <c r="A1158" s="187" t="s">
        <v>664</v>
      </c>
      <c r="B1158" s="187" t="s">
        <v>2187</v>
      </c>
      <c r="C1158" s="187" t="s">
        <v>666</v>
      </c>
      <c r="D1158" s="187" t="s">
        <v>2188</v>
      </c>
      <c r="E1158" s="187" t="s">
        <v>322</v>
      </c>
      <c r="F1158" s="188"/>
      <c r="G1158" s="18"/>
      <c r="H1158" s="18"/>
      <c r="I1158" s="189"/>
      <c r="J1158" s="189">
        <v>27500</v>
      </c>
      <c r="K1158" s="189">
        <f t="shared" si="95"/>
        <v>27500</v>
      </c>
      <c r="L1158" s="190" t="s">
        <v>551</v>
      </c>
    </row>
    <row r="1159" spans="1:23" s="180" customFormat="1" ht="8.4499999999999993" customHeight="1" x14ac:dyDescent="0.15">
      <c r="A1159" s="187" t="s">
        <v>664</v>
      </c>
      <c r="B1159" s="187" t="s">
        <v>2189</v>
      </c>
      <c r="C1159" s="187" t="s">
        <v>683</v>
      </c>
      <c r="D1159" s="187" t="s">
        <v>2190</v>
      </c>
      <c r="E1159" s="187" t="s">
        <v>322</v>
      </c>
      <c r="F1159" s="188"/>
      <c r="G1159" s="18"/>
      <c r="H1159" s="18">
        <v>15000</v>
      </c>
      <c r="I1159" s="189"/>
      <c r="J1159" s="189">
        <f>15000-H1159</f>
        <v>0</v>
      </c>
      <c r="K1159" s="189">
        <f>+J1159-I1159</f>
        <v>0</v>
      </c>
      <c r="L1159" s="190" t="s">
        <v>551</v>
      </c>
    </row>
    <row r="1160" spans="1:23" s="180" customFormat="1" ht="9" customHeight="1" x14ac:dyDescent="0.15">
      <c r="A1160" s="187" t="s">
        <v>664</v>
      </c>
      <c r="B1160" s="187" t="s">
        <v>830</v>
      </c>
      <c r="C1160" s="187" t="s">
        <v>683</v>
      </c>
      <c r="D1160" s="187" t="s">
        <v>831</v>
      </c>
      <c r="E1160" s="187" t="s">
        <v>322</v>
      </c>
      <c r="F1160" s="188"/>
      <c r="G1160" s="18"/>
      <c r="H1160" s="18">
        <v>3150</v>
      </c>
      <c r="I1160" s="189"/>
      <c r="J1160" s="189">
        <f>3150-H1160</f>
        <v>0</v>
      </c>
      <c r="K1160" s="189">
        <f>+J1160-I1160</f>
        <v>0</v>
      </c>
      <c r="L1160" s="190" t="s">
        <v>551</v>
      </c>
    </row>
    <row r="1161" spans="1:23" s="180" customFormat="1" ht="7.9" customHeight="1" x14ac:dyDescent="0.15">
      <c r="A1161" s="270" t="s">
        <v>326</v>
      </c>
      <c r="B1161" s="270"/>
      <c r="C1161" s="270"/>
      <c r="D1161" s="270"/>
      <c r="E1161" s="270"/>
      <c r="F1161" s="270"/>
      <c r="G1161" s="191"/>
      <c r="H1161" s="191"/>
      <c r="I1161" s="192">
        <f>SUM(I1139:I1160)</f>
        <v>0</v>
      </c>
      <c r="J1161" s="192">
        <f>SUM(J1139:J1160)</f>
        <v>444948</v>
      </c>
      <c r="K1161" s="192">
        <f>SUM(K1139:K1160)</f>
        <v>444948</v>
      </c>
      <c r="L1161" s="193"/>
    </row>
    <row r="1162" spans="1:23" s="180" customFormat="1" ht="1.1499999999999999" customHeight="1" x14ac:dyDescent="0.2">
      <c r="A1162" s="197"/>
      <c r="B1162" s="197"/>
      <c r="C1162" s="197"/>
      <c r="D1162" s="197"/>
      <c r="E1162" s="197"/>
      <c r="F1162" s="197"/>
      <c r="G1162" s="197"/>
      <c r="H1162" s="198"/>
      <c r="I1162" s="199"/>
      <c r="J1162" s="199"/>
      <c r="K1162" s="199"/>
      <c r="L1162" s="197"/>
      <c r="M1162" s="197"/>
      <c r="N1162" s="197"/>
      <c r="O1162" s="197"/>
      <c r="P1162" s="197"/>
      <c r="Q1162" s="197"/>
      <c r="R1162" s="197"/>
      <c r="S1162" s="197"/>
      <c r="T1162" s="197"/>
      <c r="U1162" s="197"/>
      <c r="V1162" s="197"/>
      <c r="W1162" s="197"/>
    </row>
    <row r="1163" spans="1:23" s="180" customFormat="1" ht="8.65" customHeight="1" x14ac:dyDescent="0.15">
      <c r="A1163" s="243" t="s">
        <v>664</v>
      </c>
      <c r="B1163" s="243" t="s">
        <v>665</v>
      </c>
      <c r="C1163" s="243" t="s">
        <v>666</v>
      </c>
      <c r="D1163" s="243" t="s">
        <v>667</v>
      </c>
      <c r="E1163" s="243" t="s">
        <v>328</v>
      </c>
      <c r="F1163" s="243" t="s">
        <v>612</v>
      </c>
      <c r="G1163" s="244"/>
      <c r="H1163" s="244">
        <v>240000</v>
      </c>
      <c r="I1163" s="245"/>
      <c r="J1163" s="245">
        <f>240000-H$1163</f>
        <v>0</v>
      </c>
      <c r="K1163" s="245">
        <f>+J1163-I$1163</f>
        <v>0</v>
      </c>
      <c r="L1163" s="246" t="s">
        <v>551</v>
      </c>
    </row>
    <row r="1164" spans="1:23" s="180" customFormat="1" ht="8.65" customHeight="1" x14ac:dyDescent="0.15">
      <c r="A1164" s="243" t="s">
        <v>664</v>
      </c>
      <c r="B1164" s="243" t="s">
        <v>762</v>
      </c>
      <c r="C1164" s="243" t="s">
        <v>666</v>
      </c>
      <c r="D1164" s="243" t="s">
        <v>1015</v>
      </c>
      <c r="E1164" s="243" t="s">
        <v>328</v>
      </c>
      <c r="F1164" s="247"/>
      <c r="G1164" s="244"/>
      <c r="H1164" s="244">
        <v>7000</v>
      </c>
      <c r="I1164" s="245"/>
      <c r="J1164" s="245">
        <f t="shared" ref="J1164:J1174" si="100">240000-H$1163</f>
        <v>0</v>
      </c>
      <c r="K1164" s="245">
        <f t="shared" ref="K1164:K1174" si="101">+J1164-I$1163</f>
        <v>0</v>
      </c>
      <c r="L1164" s="246" t="s">
        <v>551</v>
      </c>
    </row>
    <row r="1165" spans="1:23" s="180" customFormat="1" ht="8.65" customHeight="1" x14ac:dyDescent="0.15">
      <c r="A1165" s="243" t="s">
        <v>664</v>
      </c>
      <c r="B1165" s="243" t="s">
        <v>670</v>
      </c>
      <c r="C1165" s="243" t="s">
        <v>666</v>
      </c>
      <c r="D1165" s="243" t="s">
        <v>671</v>
      </c>
      <c r="E1165" s="243" t="s">
        <v>328</v>
      </c>
      <c r="F1165" s="247"/>
      <c r="G1165" s="244"/>
      <c r="H1165" s="244">
        <v>16000</v>
      </c>
      <c r="I1165" s="245"/>
      <c r="J1165" s="245">
        <f t="shared" si="100"/>
        <v>0</v>
      </c>
      <c r="K1165" s="245">
        <f t="shared" si="101"/>
        <v>0</v>
      </c>
      <c r="L1165" s="246" t="s">
        <v>551</v>
      </c>
    </row>
    <row r="1166" spans="1:23" s="180" customFormat="1" ht="8.65" customHeight="1" x14ac:dyDescent="0.15">
      <c r="A1166" s="243" t="s">
        <v>664</v>
      </c>
      <c r="B1166" s="243" t="s">
        <v>680</v>
      </c>
      <c r="C1166" s="243" t="s">
        <v>676</v>
      </c>
      <c r="D1166" s="243" t="s">
        <v>681</v>
      </c>
      <c r="E1166" s="243" t="s">
        <v>328</v>
      </c>
      <c r="F1166" s="247"/>
      <c r="G1166" s="244"/>
      <c r="H1166" s="244">
        <v>12000</v>
      </c>
      <c r="I1166" s="245"/>
      <c r="J1166" s="245">
        <f t="shared" si="100"/>
        <v>0</v>
      </c>
      <c r="K1166" s="245">
        <f t="shared" si="101"/>
        <v>0</v>
      </c>
      <c r="L1166" s="246" t="s">
        <v>551</v>
      </c>
    </row>
    <row r="1167" spans="1:23" s="180" customFormat="1" ht="8.65" customHeight="1" x14ac:dyDescent="0.15">
      <c r="A1167" s="243" t="s">
        <v>664</v>
      </c>
      <c r="B1167" s="243" t="s">
        <v>2191</v>
      </c>
      <c r="C1167" s="243" t="s">
        <v>683</v>
      </c>
      <c r="D1167" s="243" t="s">
        <v>2192</v>
      </c>
      <c r="E1167" s="243" t="s">
        <v>328</v>
      </c>
      <c r="F1167" s="247"/>
      <c r="G1167" s="244"/>
      <c r="H1167" s="244">
        <v>25600</v>
      </c>
      <c r="I1167" s="245"/>
      <c r="J1167" s="245">
        <f t="shared" si="100"/>
        <v>0</v>
      </c>
      <c r="K1167" s="245">
        <f t="shared" si="101"/>
        <v>0</v>
      </c>
      <c r="L1167" s="246" t="s">
        <v>551</v>
      </c>
    </row>
    <row r="1168" spans="1:23" s="180" customFormat="1" ht="8.65" customHeight="1" x14ac:dyDescent="0.15">
      <c r="A1168" s="243" t="s">
        <v>664</v>
      </c>
      <c r="B1168" s="243" t="s">
        <v>844</v>
      </c>
      <c r="C1168" s="243" t="s">
        <v>683</v>
      </c>
      <c r="D1168" s="243" t="s">
        <v>845</v>
      </c>
      <c r="E1168" s="243" t="s">
        <v>328</v>
      </c>
      <c r="F1168" s="247"/>
      <c r="G1168" s="244"/>
      <c r="H1168" s="244">
        <v>20000</v>
      </c>
      <c r="I1168" s="245"/>
      <c r="J1168" s="245">
        <f t="shared" si="100"/>
        <v>0</v>
      </c>
      <c r="K1168" s="245">
        <f t="shared" si="101"/>
        <v>0</v>
      </c>
      <c r="L1168" s="246" t="s">
        <v>551</v>
      </c>
    </row>
    <row r="1169" spans="1:23" s="180" customFormat="1" ht="8.65" customHeight="1" x14ac:dyDescent="0.15">
      <c r="A1169" s="243" t="s">
        <v>664</v>
      </c>
      <c r="B1169" s="243" t="s">
        <v>742</v>
      </c>
      <c r="C1169" s="243" t="s">
        <v>683</v>
      </c>
      <c r="D1169" s="243" t="s">
        <v>743</v>
      </c>
      <c r="E1169" s="243" t="s">
        <v>328</v>
      </c>
      <c r="F1169" s="247"/>
      <c r="G1169" s="244"/>
      <c r="H1169" s="244">
        <v>12000</v>
      </c>
      <c r="I1169" s="245"/>
      <c r="J1169" s="245">
        <f t="shared" si="100"/>
        <v>0</v>
      </c>
      <c r="K1169" s="245">
        <f t="shared" si="101"/>
        <v>0</v>
      </c>
      <c r="L1169" s="246" t="s">
        <v>551</v>
      </c>
    </row>
    <row r="1170" spans="1:23" s="180" customFormat="1" ht="8.65" customHeight="1" x14ac:dyDescent="0.15">
      <c r="A1170" s="243" t="s">
        <v>664</v>
      </c>
      <c r="B1170" s="243" t="s">
        <v>1325</v>
      </c>
      <c r="C1170" s="243" t="s">
        <v>683</v>
      </c>
      <c r="D1170" s="243" t="s">
        <v>2177</v>
      </c>
      <c r="E1170" s="243" t="s">
        <v>328</v>
      </c>
      <c r="F1170" s="247"/>
      <c r="G1170" s="244"/>
      <c r="H1170" s="244">
        <v>14000</v>
      </c>
      <c r="I1170" s="245"/>
      <c r="J1170" s="245">
        <f t="shared" si="100"/>
        <v>0</v>
      </c>
      <c r="K1170" s="245">
        <f t="shared" si="101"/>
        <v>0</v>
      </c>
      <c r="L1170" s="246" t="s">
        <v>551</v>
      </c>
    </row>
    <row r="1171" spans="1:23" s="180" customFormat="1" ht="8.65" customHeight="1" x14ac:dyDescent="0.15">
      <c r="A1171" s="243" t="s">
        <v>664</v>
      </c>
      <c r="B1171" s="243" t="s">
        <v>854</v>
      </c>
      <c r="C1171" s="243" t="s">
        <v>683</v>
      </c>
      <c r="D1171" s="243" t="s">
        <v>855</v>
      </c>
      <c r="E1171" s="243" t="s">
        <v>328</v>
      </c>
      <c r="F1171" s="247"/>
      <c r="G1171" s="244"/>
      <c r="H1171" s="244">
        <v>3000</v>
      </c>
      <c r="I1171" s="245"/>
      <c r="J1171" s="245">
        <f t="shared" si="100"/>
        <v>0</v>
      </c>
      <c r="K1171" s="245">
        <f t="shared" si="101"/>
        <v>0</v>
      </c>
      <c r="L1171" s="246" t="s">
        <v>551</v>
      </c>
    </row>
    <row r="1172" spans="1:23" s="180" customFormat="1" ht="8.65" customHeight="1" x14ac:dyDescent="0.15">
      <c r="A1172" s="243" t="s">
        <v>664</v>
      </c>
      <c r="B1172" s="243" t="s">
        <v>946</v>
      </c>
      <c r="C1172" s="243" t="s">
        <v>683</v>
      </c>
      <c r="D1172" s="243" t="s">
        <v>947</v>
      </c>
      <c r="E1172" s="243" t="s">
        <v>328</v>
      </c>
      <c r="F1172" s="247"/>
      <c r="G1172" s="244"/>
      <c r="H1172" s="244">
        <v>3500</v>
      </c>
      <c r="I1172" s="245"/>
      <c r="J1172" s="245">
        <f t="shared" si="100"/>
        <v>0</v>
      </c>
      <c r="K1172" s="245">
        <f t="shared" si="101"/>
        <v>0</v>
      </c>
      <c r="L1172" s="246" t="s">
        <v>551</v>
      </c>
    </row>
    <row r="1173" spans="1:23" s="180" customFormat="1" ht="8.65" customHeight="1" x14ac:dyDescent="0.15">
      <c r="A1173" s="243" t="s">
        <v>664</v>
      </c>
      <c r="B1173" s="243" t="s">
        <v>2178</v>
      </c>
      <c r="C1173" s="243" t="s">
        <v>683</v>
      </c>
      <c r="D1173" s="243" t="s">
        <v>2179</v>
      </c>
      <c r="E1173" s="243" t="s">
        <v>328</v>
      </c>
      <c r="F1173" s="247"/>
      <c r="G1173" s="244"/>
      <c r="H1173" s="244">
        <v>4000</v>
      </c>
      <c r="I1173" s="245"/>
      <c r="J1173" s="245">
        <f t="shared" si="100"/>
        <v>0</v>
      </c>
      <c r="K1173" s="245">
        <f t="shared" si="101"/>
        <v>0</v>
      </c>
      <c r="L1173" s="246" t="s">
        <v>551</v>
      </c>
    </row>
    <row r="1174" spans="1:23" s="180" customFormat="1" ht="8.65" customHeight="1" x14ac:dyDescent="0.15">
      <c r="A1174" s="243" t="s">
        <v>664</v>
      </c>
      <c r="B1174" s="243" t="s">
        <v>822</v>
      </c>
      <c r="C1174" s="243" t="s">
        <v>683</v>
      </c>
      <c r="D1174" s="243" t="s">
        <v>823</v>
      </c>
      <c r="E1174" s="243" t="s">
        <v>328</v>
      </c>
      <c r="F1174" s="247"/>
      <c r="G1174" s="244"/>
      <c r="H1174" s="244">
        <v>6000</v>
      </c>
      <c r="I1174" s="245"/>
      <c r="J1174" s="245">
        <f t="shared" si="100"/>
        <v>0</v>
      </c>
      <c r="K1174" s="245">
        <f t="shared" si="101"/>
        <v>0</v>
      </c>
      <c r="L1174" s="246" t="s">
        <v>551</v>
      </c>
    </row>
    <row r="1175" spans="1:23" s="180" customFormat="1" ht="10.15" customHeight="1" x14ac:dyDescent="0.15">
      <c r="A1175" s="269" t="s">
        <v>329</v>
      </c>
      <c r="B1175" s="269"/>
      <c r="C1175" s="269"/>
      <c r="D1175" s="269"/>
      <c r="E1175" s="269"/>
      <c r="F1175" s="269"/>
      <c r="G1175" s="222"/>
      <c r="H1175" s="222"/>
      <c r="I1175" s="223">
        <f>SUM(I1163:I1174)</f>
        <v>0</v>
      </c>
      <c r="J1175" s="223">
        <f>SUM(J1163:J1174)</f>
        <v>0</v>
      </c>
      <c r="K1175" s="223">
        <f>SUM(K1163:K1174)</f>
        <v>0</v>
      </c>
      <c r="L1175" s="240"/>
    </row>
    <row r="1176" spans="1:23" s="180" customFormat="1" ht="4.1500000000000004" customHeight="1" x14ac:dyDescent="0.2">
      <c r="A1176" s="197"/>
      <c r="B1176" s="197"/>
      <c r="C1176" s="197"/>
      <c r="D1176" s="197"/>
      <c r="E1176" s="197"/>
      <c r="F1176" s="197"/>
      <c r="G1176" s="197"/>
      <c r="H1176" s="198"/>
      <c r="I1176" s="199"/>
      <c r="J1176" s="199"/>
      <c r="K1176" s="199"/>
      <c r="L1176" s="197"/>
      <c r="M1176" s="197"/>
      <c r="N1176" s="197"/>
      <c r="O1176" s="197"/>
      <c r="P1176" s="197"/>
      <c r="Q1176" s="197"/>
      <c r="R1176" s="197"/>
      <c r="S1176" s="197"/>
      <c r="T1176" s="197"/>
      <c r="U1176" s="197"/>
      <c r="V1176" s="197"/>
      <c r="W1176" s="197"/>
    </row>
    <row r="1177" spans="1:23" s="180" customFormat="1" ht="8.65" customHeight="1" x14ac:dyDescent="0.15">
      <c r="A1177" s="243" t="s">
        <v>1226</v>
      </c>
      <c r="B1177" s="243" t="s">
        <v>665</v>
      </c>
      <c r="C1177" s="243" t="s">
        <v>666</v>
      </c>
      <c r="D1177" s="243" t="s">
        <v>667</v>
      </c>
      <c r="E1177" s="243" t="s">
        <v>330</v>
      </c>
      <c r="F1177" s="243" t="s">
        <v>331</v>
      </c>
      <c r="G1177" s="244"/>
      <c r="H1177" s="244">
        <v>30000</v>
      </c>
      <c r="I1177" s="245"/>
      <c r="J1177" s="245">
        <f>30000-H1177</f>
        <v>0</v>
      </c>
      <c r="K1177" s="245">
        <f>+J1177-I1177</f>
        <v>0</v>
      </c>
      <c r="L1177" s="246" t="s">
        <v>551</v>
      </c>
    </row>
    <row r="1178" spans="1:23" s="180" customFormat="1" ht="8.65" customHeight="1" x14ac:dyDescent="0.15">
      <c r="A1178" s="243" t="s">
        <v>1226</v>
      </c>
      <c r="B1178" s="243" t="s">
        <v>764</v>
      </c>
      <c r="C1178" s="243" t="s">
        <v>666</v>
      </c>
      <c r="D1178" s="243" t="s">
        <v>765</v>
      </c>
      <c r="E1178" s="243" t="s">
        <v>330</v>
      </c>
      <c r="F1178" s="247"/>
      <c r="G1178" s="244"/>
      <c r="H1178" s="244">
        <v>5026</v>
      </c>
      <c r="I1178" s="245"/>
      <c r="J1178" s="245">
        <f>7500-H1178</f>
        <v>2474</v>
      </c>
      <c r="K1178" s="245">
        <f>+J1178-I1178</f>
        <v>2474</v>
      </c>
      <c r="L1178" s="246" t="s">
        <v>551</v>
      </c>
    </row>
    <row r="1179" spans="1:23" s="180" customFormat="1" ht="8.65" customHeight="1" x14ac:dyDescent="0.15">
      <c r="A1179" s="243" t="s">
        <v>1226</v>
      </c>
      <c r="B1179" s="243" t="s">
        <v>670</v>
      </c>
      <c r="C1179" s="243" t="s">
        <v>666</v>
      </c>
      <c r="D1179" s="243" t="s">
        <v>671</v>
      </c>
      <c r="E1179" s="243" t="s">
        <v>330</v>
      </c>
      <c r="F1179" s="247"/>
      <c r="G1179" s="244"/>
      <c r="H1179" s="244">
        <v>10000</v>
      </c>
      <c r="I1179" s="245"/>
      <c r="J1179" s="245">
        <f>10000-H$1179</f>
        <v>0</v>
      </c>
      <c r="K1179" s="245">
        <f>+J1179-I$1179</f>
        <v>0</v>
      </c>
      <c r="L1179" s="246" t="s">
        <v>551</v>
      </c>
    </row>
    <row r="1180" spans="1:23" s="180" customFormat="1" ht="8.65" customHeight="1" x14ac:dyDescent="0.15">
      <c r="A1180" s="243" t="s">
        <v>1226</v>
      </c>
      <c r="B1180" s="243" t="s">
        <v>771</v>
      </c>
      <c r="C1180" s="243" t="s">
        <v>683</v>
      </c>
      <c r="D1180" s="243" t="s">
        <v>772</v>
      </c>
      <c r="E1180" s="243" t="s">
        <v>330</v>
      </c>
      <c r="F1180" s="247"/>
      <c r="G1180" s="244"/>
      <c r="H1180" s="244">
        <v>1500</v>
      </c>
      <c r="I1180" s="245"/>
      <c r="J1180" s="245">
        <f t="shared" ref="J1180:J1184" si="102">10000-H$1179</f>
        <v>0</v>
      </c>
      <c r="K1180" s="245">
        <f>+J1180-I1180</f>
        <v>0</v>
      </c>
      <c r="L1180" s="246" t="s">
        <v>551</v>
      </c>
    </row>
    <row r="1181" spans="1:23" s="180" customFormat="1" ht="8.65" customHeight="1" x14ac:dyDescent="0.15">
      <c r="A1181" s="243" t="s">
        <v>1226</v>
      </c>
      <c r="B1181" s="243" t="s">
        <v>682</v>
      </c>
      <c r="C1181" s="243" t="s">
        <v>683</v>
      </c>
      <c r="D1181" s="243" t="s">
        <v>684</v>
      </c>
      <c r="E1181" s="243" t="s">
        <v>330</v>
      </c>
      <c r="F1181" s="247"/>
      <c r="G1181" s="244"/>
      <c r="H1181" s="244">
        <v>1500</v>
      </c>
      <c r="I1181" s="245"/>
      <c r="J1181" s="245">
        <f t="shared" si="102"/>
        <v>0</v>
      </c>
      <c r="K1181" s="245">
        <f t="shared" ref="K1181:K1184" si="103">+J1181-I$1179</f>
        <v>0</v>
      </c>
      <c r="L1181" s="246" t="s">
        <v>551</v>
      </c>
    </row>
    <row r="1182" spans="1:23" s="180" customFormat="1" ht="8.65" customHeight="1" x14ac:dyDescent="0.15">
      <c r="A1182" s="243" t="s">
        <v>1226</v>
      </c>
      <c r="B1182" s="243" t="s">
        <v>773</v>
      </c>
      <c r="C1182" s="243" t="s">
        <v>683</v>
      </c>
      <c r="D1182" s="243" t="s">
        <v>774</v>
      </c>
      <c r="E1182" s="243" t="s">
        <v>330</v>
      </c>
      <c r="F1182" s="247"/>
      <c r="G1182" s="244"/>
      <c r="H1182" s="244">
        <v>1500</v>
      </c>
      <c r="I1182" s="245"/>
      <c r="J1182" s="245">
        <f t="shared" si="102"/>
        <v>0</v>
      </c>
      <c r="K1182" s="245">
        <f t="shared" si="103"/>
        <v>0</v>
      </c>
      <c r="L1182" s="246" t="s">
        <v>551</v>
      </c>
    </row>
    <row r="1183" spans="1:23" s="180" customFormat="1" ht="8.65" customHeight="1" x14ac:dyDescent="0.15">
      <c r="A1183" s="243" t="s">
        <v>1226</v>
      </c>
      <c r="B1183" s="243" t="s">
        <v>685</v>
      </c>
      <c r="C1183" s="243" t="s">
        <v>683</v>
      </c>
      <c r="D1183" s="243" t="s">
        <v>686</v>
      </c>
      <c r="E1183" s="243" t="s">
        <v>330</v>
      </c>
      <c r="F1183" s="247"/>
      <c r="G1183" s="244"/>
      <c r="H1183" s="244">
        <v>2000</v>
      </c>
      <c r="I1183" s="245"/>
      <c r="J1183" s="245">
        <f t="shared" si="102"/>
        <v>0</v>
      </c>
      <c r="K1183" s="245">
        <f t="shared" si="103"/>
        <v>0</v>
      </c>
      <c r="L1183" s="246" t="s">
        <v>551</v>
      </c>
    </row>
    <row r="1184" spans="1:23" s="180" customFormat="1" ht="8.65" customHeight="1" x14ac:dyDescent="0.15">
      <c r="A1184" s="243" t="s">
        <v>1226</v>
      </c>
      <c r="B1184" s="243" t="s">
        <v>687</v>
      </c>
      <c r="C1184" s="243" t="s">
        <v>683</v>
      </c>
      <c r="D1184" s="243" t="s">
        <v>688</v>
      </c>
      <c r="E1184" s="243" t="s">
        <v>330</v>
      </c>
      <c r="F1184" s="247"/>
      <c r="G1184" s="244"/>
      <c r="H1184" s="244">
        <v>25000</v>
      </c>
      <c r="I1184" s="245"/>
      <c r="J1184" s="245">
        <f t="shared" si="102"/>
        <v>0</v>
      </c>
      <c r="K1184" s="245">
        <f t="shared" si="103"/>
        <v>0</v>
      </c>
      <c r="L1184" s="246" t="s">
        <v>551</v>
      </c>
    </row>
    <row r="1185" spans="1:19" s="180" customFormat="1" ht="8.65" customHeight="1" x14ac:dyDescent="0.15">
      <c r="A1185" s="243" t="s">
        <v>1226</v>
      </c>
      <c r="B1185" s="243" t="s">
        <v>956</v>
      </c>
      <c r="C1185" s="243" t="s">
        <v>666</v>
      </c>
      <c r="D1185" s="243" t="s">
        <v>957</v>
      </c>
      <c r="E1185" s="243" t="s">
        <v>330</v>
      </c>
      <c r="F1185" s="247"/>
      <c r="G1185" s="244"/>
      <c r="H1185" s="244">
        <v>3351</v>
      </c>
      <c r="I1185" s="245"/>
      <c r="J1185" s="245">
        <f>5000-H1185</f>
        <v>1649</v>
      </c>
      <c r="K1185" s="245">
        <f>+J1185-I1185</f>
        <v>1649</v>
      </c>
      <c r="L1185" s="246" t="s">
        <v>551</v>
      </c>
    </row>
    <row r="1186" spans="1:19" s="180" customFormat="1" ht="8.65" customHeight="1" x14ac:dyDescent="0.15">
      <c r="A1186" s="243" t="s">
        <v>1226</v>
      </c>
      <c r="B1186" s="243" t="s">
        <v>734</v>
      </c>
      <c r="C1186" s="243" t="s">
        <v>683</v>
      </c>
      <c r="D1186" s="243" t="s">
        <v>735</v>
      </c>
      <c r="E1186" s="243" t="s">
        <v>330</v>
      </c>
      <c r="F1186" s="247"/>
      <c r="G1186" s="244"/>
      <c r="H1186" s="244">
        <v>2100</v>
      </c>
      <c r="I1186" s="245"/>
      <c r="J1186" s="245">
        <f>2100-H$1186</f>
        <v>0</v>
      </c>
      <c r="K1186" s="245">
        <f>+J1186-I$1186</f>
        <v>0</v>
      </c>
      <c r="L1186" s="246" t="s">
        <v>551</v>
      </c>
    </row>
    <row r="1187" spans="1:19" s="180" customFormat="1" ht="8.65" customHeight="1" x14ac:dyDescent="0.15">
      <c r="A1187" s="243" t="s">
        <v>1226</v>
      </c>
      <c r="B1187" s="243" t="s">
        <v>691</v>
      </c>
      <c r="C1187" s="243" t="s">
        <v>683</v>
      </c>
      <c r="D1187" s="243" t="s">
        <v>692</v>
      </c>
      <c r="E1187" s="243" t="s">
        <v>330</v>
      </c>
      <c r="F1187" s="247"/>
      <c r="G1187" s="244"/>
      <c r="H1187" s="244">
        <v>3050</v>
      </c>
      <c r="I1187" s="245"/>
      <c r="J1187" s="245">
        <f t="shared" ref="J1187:J1195" si="104">2100-H$1186</f>
        <v>0</v>
      </c>
      <c r="K1187" s="245">
        <f t="shared" ref="K1187:K1195" si="105">+J1187-I$1186</f>
        <v>0</v>
      </c>
      <c r="L1187" s="246" t="s">
        <v>551</v>
      </c>
    </row>
    <row r="1188" spans="1:19" s="180" customFormat="1" ht="8.65" customHeight="1" x14ac:dyDescent="0.15">
      <c r="A1188" s="243" t="s">
        <v>1226</v>
      </c>
      <c r="B1188" s="243" t="s">
        <v>698</v>
      </c>
      <c r="C1188" s="243" t="s">
        <v>683</v>
      </c>
      <c r="D1188" s="243" t="s">
        <v>699</v>
      </c>
      <c r="E1188" s="243" t="s">
        <v>330</v>
      </c>
      <c r="F1188" s="247"/>
      <c r="G1188" s="244"/>
      <c r="H1188" s="244">
        <v>50000</v>
      </c>
      <c r="I1188" s="245"/>
      <c r="J1188" s="245">
        <f t="shared" si="104"/>
        <v>0</v>
      </c>
      <c r="K1188" s="245">
        <f t="shared" si="105"/>
        <v>0</v>
      </c>
      <c r="L1188" s="246" t="s">
        <v>551</v>
      </c>
    </row>
    <row r="1189" spans="1:19" s="180" customFormat="1" ht="8.65" customHeight="1" x14ac:dyDescent="0.15">
      <c r="A1189" s="243" t="s">
        <v>1226</v>
      </c>
      <c r="B1189" s="243" t="s">
        <v>2173</v>
      </c>
      <c r="C1189" s="243" t="s">
        <v>683</v>
      </c>
      <c r="D1189" s="243" t="s">
        <v>2174</v>
      </c>
      <c r="E1189" s="243" t="s">
        <v>330</v>
      </c>
      <c r="F1189" s="247"/>
      <c r="G1189" s="244"/>
      <c r="H1189" s="244">
        <v>5000</v>
      </c>
      <c r="I1189" s="245"/>
      <c r="J1189" s="245">
        <f t="shared" si="104"/>
        <v>0</v>
      </c>
      <c r="K1189" s="245">
        <f t="shared" si="105"/>
        <v>0</v>
      </c>
      <c r="L1189" s="246" t="s">
        <v>551</v>
      </c>
    </row>
    <row r="1190" spans="1:19" s="180" customFormat="1" ht="8.65" customHeight="1" x14ac:dyDescent="0.15">
      <c r="A1190" s="243" t="s">
        <v>1226</v>
      </c>
      <c r="B1190" s="243" t="s">
        <v>1114</v>
      </c>
      <c r="C1190" s="243" t="s">
        <v>683</v>
      </c>
      <c r="D1190" s="243" t="s">
        <v>2193</v>
      </c>
      <c r="E1190" s="243" t="s">
        <v>330</v>
      </c>
      <c r="F1190" s="247"/>
      <c r="G1190" s="244"/>
      <c r="H1190" s="244">
        <v>800</v>
      </c>
      <c r="I1190" s="245"/>
      <c r="J1190" s="245">
        <f t="shared" si="104"/>
        <v>0</v>
      </c>
      <c r="K1190" s="245">
        <f t="shared" si="105"/>
        <v>0</v>
      </c>
      <c r="L1190" s="246" t="s">
        <v>551</v>
      </c>
    </row>
    <row r="1191" spans="1:19" s="180" customFormat="1" ht="8.65" customHeight="1" x14ac:dyDescent="0.15">
      <c r="A1191" s="243" t="s">
        <v>1226</v>
      </c>
      <c r="B1191" s="243" t="s">
        <v>991</v>
      </c>
      <c r="C1191" s="243" t="s">
        <v>683</v>
      </c>
      <c r="D1191" s="243" t="s">
        <v>992</v>
      </c>
      <c r="E1191" s="243" t="s">
        <v>330</v>
      </c>
      <c r="F1191" s="247"/>
      <c r="G1191" s="244"/>
      <c r="H1191" s="244">
        <v>2100</v>
      </c>
      <c r="I1191" s="245"/>
      <c r="J1191" s="245">
        <f t="shared" si="104"/>
        <v>0</v>
      </c>
      <c r="K1191" s="245">
        <f t="shared" si="105"/>
        <v>0</v>
      </c>
      <c r="L1191" s="246" t="s">
        <v>551</v>
      </c>
    </row>
    <row r="1192" spans="1:19" s="180" customFormat="1" ht="8.65" customHeight="1" x14ac:dyDescent="0.15">
      <c r="A1192" s="243" t="s">
        <v>1226</v>
      </c>
      <c r="B1192" s="243" t="s">
        <v>854</v>
      </c>
      <c r="C1192" s="243" t="s">
        <v>683</v>
      </c>
      <c r="D1192" s="243" t="s">
        <v>855</v>
      </c>
      <c r="E1192" s="243" t="s">
        <v>330</v>
      </c>
      <c r="F1192" s="247"/>
      <c r="G1192" s="244"/>
      <c r="H1192" s="244">
        <v>2400</v>
      </c>
      <c r="I1192" s="245"/>
      <c r="J1192" s="245">
        <f t="shared" si="104"/>
        <v>0</v>
      </c>
      <c r="K1192" s="245">
        <f t="shared" si="105"/>
        <v>0</v>
      </c>
      <c r="L1192" s="246" t="s">
        <v>551</v>
      </c>
    </row>
    <row r="1193" spans="1:19" s="180" customFormat="1" ht="8.65" customHeight="1" x14ac:dyDescent="0.15">
      <c r="A1193" s="243" t="s">
        <v>1226</v>
      </c>
      <c r="B1193" s="243" t="s">
        <v>813</v>
      </c>
      <c r="C1193" s="243" t="s">
        <v>666</v>
      </c>
      <c r="D1193" s="243" t="s">
        <v>1369</v>
      </c>
      <c r="E1193" s="243" t="s">
        <v>330</v>
      </c>
      <c r="F1193" s="247"/>
      <c r="G1193" s="244"/>
      <c r="H1193" s="244">
        <v>20000</v>
      </c>
      <c r="I1193" s="245"/>
      <c r="J1193" s="245">
        <f t="shared" si="104"/>
        <v>0</v>
      </c>
      <c r="K1193" s="245">
        <f t="shared" si="105"/>
        <v>0</v>
      </c>
      <c r="L1193" s="246" t="s">
        <v>551</v>
      </c>
    </row>
    <row r="1194" spans="1:19" s="180" customFormat="1" ht="8.65" customHeight="1" x14ac:dyDescent="0.15">
      <c r="A1194" s="243" t="s">
        <v>1226</v>
      </c>
      <c r="B1194" s="243" t="s">
        <v>704</v>
      </c>
      <c r="C1194" s="243" t="s">
        <v>683</v>
      </c>
      <c r="D1194" s="243" t="s">
        <v>966</v>
      </c>
      <c r="E1194" s="243" t="s">
        <v>330</v>
      </c>
      <c r="F1194" s="247"/>
      <c r="G1194" s="244"/>
      <c r="H1194" s="244">
        <v>4000</v>
      </c>
      <c r="I1194" s="245"/>
      <c r="J1194" s="245">
        <f t="shared" si="104"/>
        <v>0</v>
      </c>
      <c r="K1194" s="245">
        <f t="shared" si="105"/>
        <v>0</v>
      </c>
      <c r="L1194" s="246" t="s">
        <v>551</v>
      </c>
    </row>
    <row r="1195" spans="1:19" s="180" customFormat="1" ht="8.65" customHeight="1" x14ac:dyDescent="0.15">
      <c r="A1195" s="243" t="s">
        <v>1226</v>
      </c>
      <c r="B1195" s="243" t="s">
        <v>830</v>
      </c>
      <c r="C1195" s="243" t="s">
        <v>683</v>
      </c>
      <c r="D1195" s="243" t="s">
        <v>831</v>
      </c>
      <c r="E1195" s="243" t="s">
        <v>330</v>
      </c>
      <c r="F1195" s="247"/>
      <c r="G1195" s="244"/>
      <c r="H1195" s="244">
        <v>11400</v>
      </c>
      <c r="I1195" s="245"/>
      <c r="J1195" s="245">
        <f t="shared" si="104"/>
        <v>0</v>
      </c>
      <c r="K1195" s="245">
        <f t="shared" si="105"/>
        <v>0</v>
      </c>
      <c r="L1195" s="246" t="s">
        <v>551</v>
      </c>
    </row>
    <row r="1196" spans="1:19" s="180" customFormat="1" ht="8.4499999999999993" customHeight="1" x14ac:dyDescent="0.15">
      <c r="A1196" s="269" t="s">
        <v>334</v>
      </c>
      <c r="B1196" s="269"/>
      <c r="C1196" s="269"/>
      <c r="D1196" s="269"/>
      <c r="E1196" s="269"/>
      <c r="F1196" s="269"/>
      <c r="G1196" s="222"/>
      <c r="H1196" s="222"/>
      <c r="I1196" s="223">
        <f>SUM(I1181:I1191)</f>
        <v>0</v>
      </c>
      <c r="J1196" s="223">
        <f>SUM(J1177:J1195)</f>
        <v>4123</v>
      </c>
      <c r="K1196" s="223">
        <f>SUM(K1177:K1195)</f>
        <v>4123</v>
      </c>
      <c r="L1196" s="240"/>
    </row>
    <row r="1197" spans="1:19" s="180" customFormat="1" ht="13.9" customHeight="1" x14ac:dyDescent="0.2">
      <c r="A1197" s="197"/>
      <c r="B1197" s="197"/>
      <c r="C1197" s="197"/>
      <c r="D1197" s="197"/>
      <c r="E1197" s="197"/>
      <c r="F1197" s="197"/>
      <c r="G1197" s="197"/>
      <c r="H1197" s="198"/>
      <c r="I1197" s="199"/>
      <c r="J1197" s="199"/>
      <c r="K1197" s="199"/>
      <c r="L1197" s="197"/>
      <c r="M1197" s="197"/>
      <c r="N1197" s="197"/>
      <c r="O1197" s="197"/>
      <c r="P1197" s="197"/>
      <c r="Q1197" s="197"/>
      <c r="R1197" s="197"/>
      <c r="S1197" s="197"/>
    </row>
    <row r="1198" spans="1:19" s="180" customFormat="1" ht="8.65" customHeight="1" x14ac:dyDescent="0.15">
      <c r="A1198" s="243" t="s">
        <v>664</v>
      </c>
      <c r="B1198" s="243" t="s">
        <v>1140</v>
      </c>
      <c r="C1198" s="243" t="s">
        <v>694</v>
      </c>
      <c r="D1198" s="243" t="s">
        <v>1141</v>
      </c>
      <c r="E1198" s="243" t="s">
        <v>2194</v>
      </c>
      <c r="F1198" s="243" t="s">
        <v>2195</v>
      </c>
      <c r="G1198" s="244"/>
      <c r="H1198" s="244">
        <v>63634</v>
      </c>
      <c r="I1198" s="245"/>
      <c r="J1198" s="245">
        <f>100000-H1198</f>
        <v>36366</v>
      </c>
      <c r="K1198" s="245">
        <f>+J1198-I1198</f>
        <v>36366</v>
      </c>
      <c r="L1198" s="246" t="s">
        <v>551</v>
      </c>
    </row>
    <row r="1199" spans="1:19" s="180" customFormat="1" ht="8.65" customHeight="1" x14ac:dyDescent="0.15">
      <c r="A1199" s="243" t="s">
        <v>664</v>
      </c>
      <c r="B1199" s="243" t="s">
        <v>719</v>
      </c>
      <c r="C1199" s="243" t="s">
        <v>720</v>
      </c>
      <c r="D1199" s="243" t="s">
        <v>2196</v>
      </c>
      <c r="E1199" s="243" t="s">
        <v>2194</v>
      </c>
      <c r="F1199" s="247"/>
      <c r="G1199" s="244"/>
      <c r="H1199" s="244"/>
      <c r="I1199" s="245"/>
      <c r="J1199" s="245">
        <v>1750000</v>
      </c>
      <c r="K1199" s="245">
        <f>+J1199-I1199</f>
        <v>1750000</v>
      </c>
      <c r="L1199" s="246" t="s">
        <v>551</v>
      </c>
    </row>
    <row r="1200" spans="1:19" s="180" customFormat="1" ht="8.65" customHeight="1" x14ac:dyDescent="0.15">
      <c r="A1200" s="243" t="s">
        <v>664</v>
      </c>
      <c r="B1200" s="243" t="s">
        <v>722</v>
      </c>
      <c r="C1200" s="243" t="s">
        <v>720</v>
      </c>
      <c r="D1200" s="243" t="s">
        <v>723</v>
      </c>
      <c r="E1200" s="243" t="s">
        <v>2194</v>
      </c>
      <c r="F1200" s="247"/>
      <c r="G1200" s="244"/>
      <c r="H1200" s="244">
        <v>779346</v>
      </c>
      <c r="I1200" s="245"/>
      <c r="J1200" s="245">
        <f>2200000-H1200</f>
        <v>1420654</v>
      </c>
      <c r="K1200" s="245">
        <f>+J1200-I1200</f>
        <v>1420654</v>
      </c>
      <c r="L1200" s="246" t="s">
        <v>551</v>
      </c>
    </row>
    <row r="1201" spans="1:21" s="180" customFormat="1" ht="10.15" customHeight="1" x14ac:dyDescent="0.15">
      <c r="A1201" s="269" t="s">
        <v>2197</v>
      </c>
      <c r="B1201" s="269"/>
      <c r="C1201" s="269"/>
      <c r="D1201" s="269"/>
      <c r="E1201" s="269"/>
      <c r="F1201" s="269"/>
      <c r="G1201" s="222"/>
      <c r="H1201" s="222"/>
      <c r="I1201" s="223">
        <f ca="1">SUM(I1198:I1201)</f>
        <v>0</v>
      </c>
      <c r="J1201" s="223">
        <f>SUM(J1198:J1200)</f>
        <v>3207020</v>
      </c>
      <c r="K1201" s="223">
        <f>SUM(K1198:K1200)</f>
        <v>3207020</v>
      </c>
      <c r="L1201" s="240"/>
    </row>
    <row r="1202" spans="1:21" s="180" customFormat="1" ht="2.4500000000000002" customHeight="1" x14ac:dyDescent="0.2">
      <c r="A1202" s="197"/>
      <c r="B1202" s="197"/>
      <c r="C1202" s="197"/>
      <c r="D1202" s="197"/>
      <c r="E1202" s="197"/>
      <c r="F1202" s="197"/>
      <c r="G1202" s="197"/>
      <c r="H1202" s="198"/>
      <c r="I1202" s="199"/>
      <c r="J1202" s="199"/>
      <c r="K1202" s="199"/>
      <c r="L1202" s="197"/>
      <c r="M1202" s="197"/>
      <c r="N1202" s="197"/>
      <c r="O1202" s="197"/>
      <c r="P1202" s="197"/>
      <c r="Q1202" s="197"/>
      <c r="R1202" s="197"/>
      <c r="S1202" s="197"/>
      <c r="T1202" s="197"/>
      <c r="U1202" s="197"/>
    </row>
    <row r="1203" spans="1:21" s="180" customFormat="1" ht="8.65" customHeight="1" x14ac:dyDescent="0.15">
      <c r="A1203" s="243" t="s">
        <v>664</v>
      </c>
      <c r="B1203" s="243" t="s">
        <v>665</v>
      </c>
      <c r="C1203" s="243" t="s">
        <v>666</v>
      </c>
      <c r="D1203" s="243" t="s">
        <v>667</v>
      </c>
      <c r="E1203" s="243" t="s">
        <v>457</v>
      </c>
      <c r="F1203" s="243" t="s">
        <v>614</v>
      </c>
      <c r="G1203" s="244"/>
      <c r="H1203" s="244">
        <f>51825+23175</f>
        <v>75000</v>
      </c>
      <c r="I1203" s="245"/>
      <c r="J1203" s="245">
        <f>75000-H1203</f>
        <v>0</v>
      </c>
      <c r="K1203" s="245">
        <f>+J1203-I1203</f>
        <v>0</v>
      </c>
      <c r="L1203" s="246" t="s">
        <v>551</v>
      </c>
    </row>
    <row r="1204" spans="1:21" s="180" customFormat="1" ht="8.65" customHeight="1" x14ac:dyDescent="0.15">
      <c r="A1204" s="243" t="s">
        <v>664</v>
      </c>
      <c r="B1204" s="243" t="s">
        <v>2198</v>
      </c>
      <c r="C1204" s="243" t="s">
        <v>666</v>
      </c>
      <c r="D1204" s="243" t="s">
        <v>2199</v>
      </c>
      <c r="E1204" s="243" t="s">
        <v>457</v>
      </c>
      <c r="F1204" s="247"/>
      <c r="G1204" s="244"/>
      <c r="H1204" s="244">
        <v>3217177</v>
      </c>
      <c r="I1204" s="245"/>
      <c r="J1204" s="245">
        <f>5000000-H1204</f>
        <v>1782823</v>
      </c>
      <c r="K1204" s="245">
        <f>+J1204-I1204</f>
        <v>1782823</v>
      </c>
      <c r="L1204" s="246" t="s">
        <v>551</v>
      </c>
    </row>
    <row r="1205" spans="1:21" s="180" customFormat="1" ht="8.65" customHeight="1" x14ac:dyDescent="0.15">
      <c r="A1205" s="243" t="s">
        <v>664</v>
      </c>
      <c r="B1205" s="243" t="s">
        <v>2200</v>
      </c>
      <c r="C1205" s="243" t="s">
        <v>1467</v>
      </c>
      <c r="D1205" s="243" t="s">
        <v>2201</v>
      </c>
      <c r="E1205" s="243" t="s">
        <v>457</v>
      </c>
      <c r="F1205" s="247"/>
      <c r="G1205" s="244">
        <v>150000</v>
      </c>
      <c r="H1205" s="244"/>
      <c r="I1205" s="245"/>
      <c r="J1205" s="245">
        <v>150000</v>
      </c>
      <c r="K1205" s="245">
        <f>+J1205-I1205</f>
        <v>150000</v>
      </c>
      <c r="L1205" s="246"/>
    </row>
    <row r="1206" spans="1:21" s="180" customFormat="1" ht="8.65" customHeight="1" x14ac:dyDescent="0.15">
      <c r="A1206" s="243" t="s">
        <v>664</v>
      </c>
      <c r="B1206" s="243" t="s">
        <v>685</v>
      </c>
      <c r="C1206" s="243" t="s">
        <v>683</v>
      </c>
      <c r="D1206" s="243" t="s">
        <v>686</v>
      </c>
      <c r="E1206" s="243" t="s">
        <v>457</v>
      </c>
      <c r="F1206" s="247"/>
      <c r="G1206" s="244"/>
      <c r="H1206" s="244">
        <v>5000</v>
      </c>
      <c r="I1206" s="245"/>
      <c r="J1206" s="245">
        <f>5000-H$1206</f>
        <v>0</v>
      </c>
      <c r="K1206" s="245">
        <f>+J1206-I1206</f>
        <v>0</v>
      </c>
      <c r="L1206" s="246" t="s">
        <v>551</v>
      </c>
    </row>
    <row r="1207" spans="1:21" s="180" customFormat="1" ht="8.65" customHeight="1" x14ac:dyDescent="0.15">
      <c r="A1207" s="243" t="s">
        <v>664</v>
      </c>
      <c r="B1207" s="243" t="s">
        <v>2202</v>
      </c>
      <c r="C1207" s="243" t="s">
        <v>666</v>
      </c>
      <c r="D1207" s="243" t="s">
        <v>2203</v>
      </c>
      <c r="E1207" s="243" t="s">
        <v>457</v>
      </c>
      <c r="F1207" s="247"/>
      <c r="G1207" s="244">
        <v>258297</v>
      </c>
      <c r="H1207" s="244"/>
      <c r="I1207" s="245"/>
      <c r="J1207" s="245">
        <f>+G1207</f>
        <v>258297</v>
      </c>
      <c r="K1207" s="245">
        <f>+J1207-I1207</f>
        <v>258297</v>
      </c>
      <c r="L1207" s="246"/>
    </row>
    <row r="1208" spans="1:21" s="180" customFormat="1" ht="8.65" customHeight="1" x14ac:dyDescent="0.15">
      <c r="A1208" s="243" t="s">
        <v>664</v>
      </c>
      <c r="B1208" s="243" t="s">
        <v>734</v>
      </c>
      <c r="C1208" s="243" t="s">
        <v>683</v>
      </c>
      <c r="D1208" s="243" t="s">
        <v>735</v>
      </c>
      <c r="E1208" s="243" t="s">
        <v>457</v>
      </c>
      <c r="F1208" s="247"/>
      <c r="G1208" s="244"/>
      <c r="H1208" s="244">
        <v>12500</v>
      </c>
      <c r="I1208" s="245"/>
      <c r="J1208" s="245">
        <f>12500-H$1208</f>
        <v>0</v>
      </c>
      <c r="K1208" s="245">
        <f>+J1208-I$1208</f>
        <v>0</v>
      </c>
      <c r="L1208" s="246" t="s">
        <v>551</v>
      </c>
    </row>
    <row r="1209" spans="1:21" s="180" customFormat="1" ht="8.65" customHeight="1" x14ac:dyDescent="0.15">
      <c r="A1209" s="243" t="s">
        <v>664</v>
      </c>
      <c r="B1209" s="243" t="s">
        <v>736</v>
      </c>
      <c r="C1209" s="243" t="s">
        <v>683</v>
      </c>
      <c r="D1209" s="243" t="s">
        <v>737</v>
      </c>
      <c r="E1209" s="243" t="s">
        <v>457</v>
      </c>
      <c r="F1209" s="247"/>
      <c r="G1209" s="244"/>
      <c r="H1209" s="244">
        <v>12000</v>
      </c>
      <c r="I1209" s="245"/>
      <c r="J1209" s="245">
        <f t="shared" ref="J1209:J1218" si="106">12500-H$1208</f>
        <v>0</v>
      </c>
      <c r="K1209" s="245">
        <f t="shared" ref="K1209:K1218" si="107">+J1209-I$1208</f>
        <v>0</v>
      </c>
      <c r="L1209" s="246" t="s">
        <v>551</v>
      </c>
    </row>
    <row r="1210" spans="1:21" s="180" customFormat="1" ht="8.65" customHeight="1" x14ac:dyDescent="0.15">
      <c r="A1210" s="243" t="s">
        <v>664</v>
      </c>
      <c r="B1210" s="243" t="s">
        <v>738</v>
      </c>
      <c r="C1210" s="243" t="s">
        <v>683</v>
      </c>
      <c r="D1210" s="243" t="s">
        <v>739</v>
      </c>
      <c r="E1210" s="243" t="s">
        <v>457</v>
      </c>
      <c r="F1210" s="247"/>
      <c r="G1210" s="244"/>
      <c r="H1210" s="244">
        <v>12000</v>
      </c>
      <c r="I1210" s="245"/>
      <c r="J1210" s="245">
        <f t="shared" si="106"/>
        <v>0</v>
      </c>
      <c r="K1210" s="245">
        <f t="shared" si="107"/>
        <v>0</v>
      </c>
      <c r="L1210" s="246" t="s">
        <v>551</v>
      </c>
    </row>
    <row r="1211" spans="1:21" s="180" customFormat="1" ht="8.65" customHeight="1" x14ac:dyDescent="0.15">
      <c r="A1211" s="243" t="s">
        <v>664</v>
      </c>
      <c r="B1211" s="243" t="s">
        <v>740</v>
      </c>
      <c r="C1211" s="243" t="s">
        <v>683</v>
      </c>
      <c r="D1211" s="243" t="s">
        <v>741</v>
      </c>
      <c r="E1211" s="243" t="s">
        <v>457</v>
      </c>
      <c r="F1211" s="247"/>
      <c r="G1211" s="244"/>
      <c r="H1211" s="244">
        <v>3750</v>
      </c>
      <c r="I1211" s="245"/>
      <c r="J1211" s="245">
        <f t="shared" si="106"/>
        <v>0</v>
      </c>
      <c r="K1211" s="245">
        <f t="shared" si="107"/>
        <v>0</v>
      </c>
      <c r="L1211" s="246" t="s">
        <v>551</v>
      </c>
    </row>
    <row r="1212" spans="1:21" s="180" customFormat="1" ht="8.65" customHeight="1" x14ac:dyDescent="0.15">
      <c r="A1212" s="243" t="s">
        <v>664</v>
      </c>
      <c r="B1212" s="243" t="s">
        <v>742</v>
      </c>
      <c r="C1212" s="243" t="s">
        <v>683</v>
      </c>
      <c r="D1212" s="243" t="s">
        <v>743</v>
      </c>
      <c r="E1212" s="243" t="s">
        <v>457</v>
      </c>
      <c r="F1212" s="247"/>
      <c r="G1212" s="244"/>
      <c r="H1212" s="244">
        <v>12000</v>
      </c>
      <c r="I1212" s="245"/>
      <c r="J1212" s="245">
        <f t="shared" si="106"/>
        <v>0</v>
      </c>
      <c r="K1212" s="245">
        <f t="shared" si="107"/>
        <v>0</v>
      </c>
      <c r="L1212" s="246" t="s">
        <v>551</v>
      </c>
    </row>
    <row r="1213" spans="1:21" s="180" customFormat="1" ht="8.65" customHeight="1" x14ac:dyDescent="0.15">
      <c r="A1213" s="243" t="s">
        <v>664</v>
      </c>
      <c r="B1213" s="243" t="s">
        <v>744</v>
      </c>
      <c r="C1213" s="243" t="s">
        <v>683</v>
      </c>
      <c r="D1213" s="243" t="s">
        <v>745</v>
      </c>
      <c r="E1213" s="243" t="s">
        <v>457</v>
      </c>
      <c r="F1213" s="247"/>
      <c r="G1213" s="244"/>
      <c r="H1213" s="244">
        <v>12000</v>
      </c>
      <c r="I1213" s="245"/>
      <c r="J1213" s="245">
        <f t="shared" si="106"/>
        <v>0</v>
      </c>
      <c r="K1213" s="245">
        <f t="shared" si="107"/>
        <v>0</v>
      </c>
      <c r="L1213" s="246" t="s">
        <v>551</v>
      </c>
    </row>
    <row r="1214" spans="1:21" s="180" customFormat="1" ht="8.65" customHeight="1" x14ac:dyDescent="0.15">
      <c r="A1214" s="243" t="s">
        <v>664</v>
      </c>
      <c r="B1214" s="243" t="s">
        <v>746</v>
      </c>
      <c r="C1214" s="243" t="s">
        <v>683</v>
      </c>
      <c r="D1214" s="243" t="s">
        <v>747</v>
      </c>
      <c r="E1214" s="243" t="s">
        <v>457</v>
      </c>
      <c r="F1214" s="247"/>
      <c r="G1214" s="244"/>
      <c r="H1214" s="244">
        <v>36000</v>
      </c>
      <c r="I1214" s="245"/>
      <c r="J1214" s="245">
        <f t="shared" si="106"/>
        <v>0</v>
      </c>
      <c r="K1214" s="245">
        <f t="shared" si="107"/>
        <v>0</v>
      </c>
      <c r="L1214" s="246" t="s">
        <v>551</v>
      </c>
    </row>
    <row r="1215" spans="1:21" s="180" customFormat="1" ht="8.65" customHeight="1" x14ac:dyDescent="0.15">
      <c r="A1215" s="243" t="s">
        <v>664</v>
      </c>
      <c r="B1215" s="243" t="s">
        <v>748</v>
      </c>
      <c r="C1215" s="243" t="s">
        <v>683</v>
      </c>
      <c r="D1215" s="243" t="s">
        <v>749</v>
      </c>
      <c r="E1215" s="243" t="s">
        <v>457</v>
      </c>
      <c r="F1215" s="247"/>
      <c r="G1215" s="244"/>
      <c r="H1215" s="244">
        <v>5000</v>
      </c>
      <c r="I1215" s="245"/>
      <c r="J1215" s="245">
        <f t="shared" si="106"/>
        <v>0</v>
      </c>
      <c r="K1215" s="245">
        <f t="shared" si="107"/>
        <v>0</v>
      </c>
      <c r="L1215" s="246" t="s">
        <v>551</v>
      </c>
    </row>
    <row r="1216" spans="1:21" s="180" customFormat="1" ht="8.65" customHeight="1" x14ac:dyDescent="0.15">
      <c r="A1216" s="243" t="s">
        <v>664</v>
      </c>
      <c r="B1216" s="243" t="s">
        <v>750</v>
      </c>
      <c r="C1216" s="243" t="s">
        <v>666</v>
      </c>
      <c r="D1216" s="243" t="s">
        <v>821</v>
      </c>
      <c r="E1216" s="243" t="s">
        <v>457</v>
      </c>
      <c r="F1216" s="247"/>
      <c r="G1216" s="244"/>
      <c r="H1216" s="244">
        <v>50000</v>
      </c>
      <c r="I1216" s="245"/>
      <c r="J1216" s="245">
        <f t="shared" si="106"/>
        <v>0</v>
      </c>
      <c r="K1216" s="245">
        <f t="shared" si="107"/>
        <v>0</v>
      </c>
      <c r="L1216" s="246" t="s">
        <v>551</v>
      </c>
    </row>
    <row r="1217" spans="1:22" s="180" customFormat="1" ht="8.65" customHeight="1" x14ac:dyDescent="0.15">
      <c r="A1217" s="243" t="s">
        <v>664</v>
      </c>
      <c r="B1217" s="243" t="s">
        <v>752</v>
      </c>
      <c r="C1217" s="243" t="s">
        <v>666</v>
      </c>
      <c r="D1217" s="243" t="s">
        <v>2204</v>
      </c>
      <c r="E1217" s="243" t="s">
        <v>457</v>
      </c>
      <c r="F1217" s="247"/>
      <c r="G1217" s="244"/>
      <c r="H1217" s="244">
        <v>50000</v>
      </c>
      <c r="I1217" s="245"/>
      <c r="J1217" s="245">
        <f t="shared" si="106"/>
        <v>0</v>
      </c>
      <c r="K1217" s="245">
        <f t="shared" si="107"/>
        <v>0</v>
      </c>
      <c r="L1217" s="246" t="s">
        <v>551</v>
      </c>
    </row>
    <row r="1218" spans="1:22" s="180" customFormat="1" ht="8.65" customHeight="1" x14ac:dyDescent="0.15">
      <c r="A1218" s="243" t="s">
        <v>664</v>
      </c>
      <c r="B1218" s="243" t="s">
        <v>754</v>
      </c>
      <c r="C1218" s="243" t="s">
        <v>666</v>
      </c>
      <c r="D1218" s="243" t="s">
        <v>2205</v>
      </c>
      <c r="E1218" s="243" t="s">
        <v>457</v>
      </c>
      <c r="F1218" s="247"/>
      <c r="G1218" s="244"/>
      <c r="H1218" s="244">
        <v>50000</v>
      </c>
      <c r="I1218" s="245"/>
      <c r="J1218" s="245">
        <f t="shared" si="106"/>
        <v>0</v>
      </c>
      <c r="K1218" s="245">
        <f t="shared" si="107"/>
        <v>0</v>
      </c>
      <c r="L1218" s="246" t="s">
        <v>551</v>
      </c>
    </row>
    <row r="1219" spans="1:22" s="180" customFormat="1" ht="8.65" customHeight="1" x14ac:dyDescent="0.15">
      <c r="A1219" s="243" t="s">
        <v>664</v>
      </c>
      <c r="B1219" s="243" t="s">
        <v>756</v>
      </c>
      <c r="C1219" s="243" t="s">
        <v>714</v>
      </c>
      <c r="D1219" s="243" t="s">
        <v>757</v>
      </c>
      <c r="E1219" s="243" t="s">
        <v>457</v>
      </c>
      <c r="F1219" s="247"/>
      <c r="G1219" s="244"/>
      <c r="H1219" s="244">
        <v>219797</v>
      </c>
      <c r="I1219" s="245"/>
      <c r="J1219" s="245">
        <f>220000-H1219</f>
        <v>203</v>
      </c>
      <c r="K1219" s="245">
        <f t="shared" ref="K1219:K1229" si="108">+J1219-I1219</f>
        <v>203</v>
      </c>
      <c r="L1219" s="246" t="s">
        <v>551</v>
      </c>
    </row>
    <row r="1220" spans="1:22" s="180" customFormat="1" ht="8.65" customHeight="1" x14ac:dyDescent="0.15">
      <c r="A1220" s="243" t="s">
        <v>726</v>
      </c>
      <c r="B1220" s="243" t="s">
        <v>2206</v>
      </c>
      <c r="C1220" s="243" t="s">
        <v>942</v>
      </c>
      <c r="D1220" s="243" t="s">
        <v>2207</v>
      </c>
      <c r="E1220" s="243" t="s">
        <v>457</v>
      </c>
      <c r="F1220" s="247"/>
      <c r="G1220" s="244"/>
      <c r="H1220" s="244">
        <v>1050000</v>
      </c>
      <c r="I1220" s="245"/>
      <c r="J1220" s="245">
        <f>1050000-H1220</f>
        <v>0</v>
      </c>
      <c r="K1220" s="245">
        <f t="shared" si="108"/>
        <v>0</v>
      </c>
      <c r="L1220" s="246" t="s">
        <v>551</v>
      </c>
    </row>
    <row r="1221" spans="1:22" s="180" customFormat="1" ht="8.65" customHeight="1" x14ac:dyDescent="0.15">
      <c r="A1221" s="243" t="s">
        <v>726</v>
      </c>
      <c r="B1221" s="243" t="s">
        <v>2208</v>
      </c>
      <c r="C1221" s="243" t="s">
        <v>942</v>
      </c>
      <c r="D1221" s="243" t="s">
        <v>2209</v>
      </c>
      <c r="E1221" s="243" t="s">
        <v>457</v>
      </c>
      <c r="F1221" s="247"/>
      <c r="G1221" s="244"/>
      <c r="H1221" s="244"/>
      <c r="I1221" s="245">
        <v>1457400</v>
      </c>
      <c r="J1221" s="245">
        <v>1620733</v>
      </c>
      <c r="K1221" s="245">
        <f t="shared" si="108"/>
        <v>163333</v>
      </c>
      <c r="L1221" s="246" t="s">
        <v>551</v>
      </c>
    </row>
    <row r="1222" spans="1:22" s="180" customFormat="1" ht="8.65" customHeight="1" x14ac:dyDescent="0.15">
      <c r="A1222" s="243" t="s">
        <v>726</v>
      </c>
      <c r="B1222" s="243" t="s">
        <v>2210</v>
      </c>
      <c r="C1222" s="243" t="s">
        <v>942</v>
      </c>
      <c r="D1222" s="243" t="s">
        <v>2211</v>
      </c>
      <c r="E1222" s="243" t="s">
        <v>457</v>
      </c>
      <c r="F1222" s="247"/>
      <c r="G1222" s="244">
        <v>1023600</v>
      </c>
      <c r="H1222" s="244"/>
      <c r="I1222" s="245">
        <v>5773600</v>
      </c>
      <c r="J1222" s="245">
        <f>4750000+G1222</f>
        <v>5773600</v>
      </c>
      <c r="K1222" s="245">
        <f t="shared" si="108"/>
        <v>0</v>
      </c>
      <c r="L1222" s="246" t="s">
        <v>551</v>
      </c>
    </row>
    <row r="1223" spans="1:22" s="180" customFormat="1" ht="8.65" customHeight="1" x14ac:dyDescent="0.15">
      <c r="A1223" s="243" t="s">
        <v>726</v>
      </c>
      <c r="B1223" s="243" t="s">
        <v>2212</v>
      </c>
      <c r="C1223" s="243" t="s">
        <v>942</v>
      </c>
      <c r="D1223" s="243" t="s">
        <v>2213</v>
      </c>
      <c r="E1223" s="243" t="s">
        <v>457</v>
      </c>
      <c r="F1223" s="247"/>
      <c r="G1223" s="244">
        <v>1330600</v>
      </c>
      <c r="H1223" s="244"/>
      <c r="I1223" s="245">
        <v>8853690</v>
      </c>
      <c r="J1223" s="245">
        <f>7523090+G1223</f>
        <v>8853690</v>
      </c>
      <c r="K1223" s="245">
        <f t="shared" si="108"/>
        <v>0</v>
      </c>
      <c r="L1223" s="246" t="s">
        <v>551</v>
      </c>
    </row>
    <row r="1224" spans="1:22" s="180" customFormat="1" ht="8.65" customHeight="1" x14ac:dyDescent="0.15">
      <c r="A1224" s="243" t="s">
        <v>726</v>
      </c>
      <c r="B1224" s="243" t="s">
        <v>2214</v>
      </c>
      <c r="C1224" s="243" t="s">
        <v>942</v>
      </c>
      <c r="D1224" s="243" t="s">
        <v>2215</v>
      </c>
      <c r="E1224" s="243" t="s">
        <v>457</v>
      </c>
      <c r="F1224" s="247"/>
      <c r="G1224" s="244">
        <v>1314200</v>
      </c>
      <c r="H1224" s="244"/>
      <c r="I1224" s="245">
        <v>4414199.57</v>
      </c>
      <c r="J1224" s="245">
        <f>3100000+G1224</f>
        <v>4414200</v>
      </c>
      <c r="K1224" s="245">
        <f t="shared" si="108"/>
        <v>0.42999999970197678</v>
      </c>
      <c r="L1224" s="246" t="s">
        <v>551</v>
      </c>
    </row>
    <row r="1225" spans="1:22" s="180" customFormat="1" ht="8.65" customHeight="1" x14ac:dyDescent="0.15">
      <c r="A1225" s="243" t="s">
        <v>726</v>
      </c>
      <c r="B1225" s="243" t="s">
        <v>2216</v>
      </c>
      <c r="C1225" s="243" t="s">
        <v>942</v>
      </c>
      <c r="D1225" s="243" t="s">
        <v>2217</v>
      </c>
      <c r="E1225" s="243" t="s">
        <v>457</v>
      </c>
      <c r="F1225" s="247"/>
      <c r="G1225" s="244"/>
      <c r="H1225" s="244">
        <v>644999</v>
      </c>
      <c r="I1225" s="245">
        <v>146666.68</v>
      </c>
      <c r="J1225" s="245">
        <f>865000-H1225</f>
        <v>220001</v>
      </c>
      <c r="K1225" s="245">
        <f t="shared" si="108"/>
        <v>73334.320000000007</v>
      </c>
      <c r="L1225" s="246" t="s">
        <v>551</v>
      </c>
    </row>
    <row r="1226" spans="1:22" s="180" customFormat="1" ht="8.65" customHeight="1" x14ac:dyDescent="0.15">
      <c r="A1226" s="243" t="s">
        <v>726</v>
      </c>
      <c r="B1226" s="243" t="s">
        <v>2218</v>
      </c>
      <c r="C1226" s="243" t="s">
        <v>942</v>
      </c>
      <c r="D1226" s="243" t="s">
        <v>2219</v>
      </c>
      <c r="E1226" s="243" t="s">
        <v>457</v>
      </c>
      <c r="F1226" s="247"/>
      <c r="G1226" s="244"/>
      <c r="H1226" s="244">
        <v>135000</v>
      </c>
      <c r="I1226" s="245"/>
      <c r="J1226" s="245">
        <f>135000-H1226</f>
        <v>0</v>
      </c>
      <c r="K1226" s="245">
        <f t="shared" si="108"/>
        <v>0</v>
      </c>
      <c r="L1226" s="246" t="s">
        <v>551</v>
      </c>
    </row>
    <row r="1227" spans="1:22" s="180" customFormat="1" ht="8.65" customHeight="1" x14ac:dyDescent="0.15">
      <c r="A1227" s="243" t="s">
        <v>726</v>
      </c>
      <c r="B1227" s="243" t="s">
        <v>2220</v>
      </c>
      <c r="C1227" s="243" t="s">
        <v>942</v>
      </c>
      <c r="D1227" s="243" t="s">
        <v>2221</v>
      </c>
      <c r="E1227" s="243" t="s">
        <v>457</v>
      </c>
      <c r="F1227" s="247"/>
      <c r="G1227" s="244"/>
      <c r="H1227" s="244">
        <v>209134</v>
      </c>
      <c r="I1227" s="245"/>
      <c r="J1227" s="245">
        <f>930000-H1227</f>
        <v>720866</v>
      </c>
      <c r="K1227" s="245">
        <f t="shared" si="108"/>
        <v>720866</v>
      </c>
      <c r="L1227" s="246" t="s">
        <v>551</v>
      </c>
    </row>
    <row r="1228" spans="1:22" s="180" customFormat="1" ht="8.65" customHeight="1" x14ac:dyDescent="0.15">
      <c r="A1228" s="243" t="s">
        <v>726</v>
      </c>
      <c r="B1228" s="243" t="s">
        <v>2222</v>
      </c>
      <c r="C1228" s="243" t="s">
        <v>942</v>
      </c>
      <c r="D1228" s="243" t="s">
        <v>2223</v>
      </c>
      <c r="E1228" s="243" t="s">
        <v>457</v>
      </c>
      <c r="F1228" s="247"/>
      <c r="G1228" s="244"/>
      <c r="H1228" s="244">
        <v>550000</v>
      </c>
      <c r="I1228" s="245">
        <v>1550000</v>
      </c>
      <c r="J1228" s="245">
        <f>2100000-H1228</f>
        <v>1550000</v>
      </c>
      <c r="K1228" s="245">
        <f t="shared" si="108"/>
        <v>0</v>
      </c>
      <c r="L1228" s="246" t="s">
        <v>551</v>
      </c>
    </row>
    <row r="1229" spans="1:22" s="180" customFormat="1" ht="8.65" customHeight="1" x14ac:dyDescent="0.15">
      <c r="A1229" s="243" t="s">
        <v>726</v>
      </c>
      <c r="B1229" s="243" t="s">
        <v>2224</v>
      </c>
      <c r="C1229" s="243" t="s">
        <v>942</v>
      </c>
      <c r="D1229" s="243" t="s">
        <v>2225</v>
      </c>
      <c r="E1229" s="243" t="s">
        <v>457</v>
      </c>
      <c r="F1229" s="247"/>
      <c r="G1229" s="244"/>
      <c r="H1229" s="244">
        <v>2700000</v>
      </c>
      <c r="I1229" s="245"/>
      <c r="J1229" s="245">
        <f>2700000-H1229</f>
        <v>0</v>
      </c>
      <c r="K1229" s="245">
        <f t="shared" si="108"/>
        <v>0</v>
      </c>
      <c r="L1229" s="246" t="s">
        <v>551</v>
      </c>
    </row>
    <row r="1230" spans="1:22" s="180" customFormat="1" ht="10.15" customHeight="1" x14ac:dyDescent="0.15">
      <c r="A1230" s="271" t="s">
        <v>456</v>
      </c>
      <c r="B1230" s="271"/>
      <c r="C1230" s="271"/>
      <c r="D1230" s="271"/>
      <c r="E1230" s="271"/>
      <c r="F1230" s="272"/>
      <c r="G1230" s="248"/>
      <c r="H1230" s="248"/>
      <c r="I1230" s="249">
        <f>SUM(I1203:I1229)</f>
        <v>22195556.25</v>
      </c>
      <c r="J1230" s="250">
        <f>SUM(J1203:J1229)</f>
        <v>25344413</v>
      </c>
      <c r="K1230" s="250">
        <f>SUM(K1203:K1229)</f>
        <v>3148856.7499999995</v>
      </c>
      <c r="L1230" s="251"/>
    </row>
    <row r="1231" spans="1:22" s="180" customFormat="1" ht="12" customHeight="1" x14ac:dyDescent="0.2">
      <c r="A1231" s="197"/>
      <c r="B1231" s="197"/>
      <c r="C1231" s="197"/>
      <c r="D1231" s="197"/>
      <c r="E1231" s="197"/>
      <c r="F1231" s="197"/>
      <c r="G1231" s="197"/>
      <c r="H1231" s="198"/>
      <c r="I1231" s="199"/>
      <c r="J1231" s="199"/>
      <c r="K1231" s="199"/>
      <c r="L1231" s="197"/>
      <c r="M1231" s="197"/>
      <c r="N1231" s="197"/>
      <c r="O1231" s="197"/>
      <c r="P1231" s="197"/>
      <c r="Q1231" s="197"/>
      <c r="R1231" s="197"/>
      <c r="S1231" s="197"/>
      <c r="T1231" s="197"/>
      <c r="U1231" s="197"/>
      <c r="V1231" s="197"/>
    </row>
    <row r="1232" spans="1:22" s="180" customFormat="1" ht="11.45" customHeight="1" x14ac:dyDescent="0.15">
      <c r="A1232" s="187" t="s">
        <v>726</v>
      </c>
      <c r="B1232" s="187" t="s">
        <v>2226</v>
      </c>
      <c r="C1232" s="187" t="s">
        <v>714</v>
      </c>
      <c r="D1232" s="187" t="s">
        <v>2227</v>
      </c>
      <c r="E1232" s="187" t="s">
        <v>2228</v>
      </c>
      <c r="F1232" s="188"/>
      <c r="G1232" s="18"/>
      <c r="H1232" s="18"/>
      <c r="I1232" s="189"/>
      <c r="J1232" s="189">
        <v>34860</v>
      </c>
      <c r="K1232" s="189">
        <f>+J1232-H1232</f>
        <v>34860</v>
      </c>
      <c r="L1232" s="190" t="s">
        <v>551</v>
      </c>
    </row>
    <row r="1233" spans="1:21" s="180" customFormat="1" ht="8.25" x14ac:dyDescent="0.15">
      <c r="A1233" s="187" t="s">
        <v>726</v>
      </c>
      <c r="B1233" s="187" t="s">
        <v>2229</v>
      </c>
      <c r="C1233" s="187" t="s">
        <v>714</v>
      </c>
      <c r="D1233" s="187" t="s">
        <v>2230</v>
      </c>
      <c r="E1233" s="187" t="s">
        <v>2228</v>
      </c>
      <c r="F1233" s="188"/>
      <c r="G1233" s="18"/>
      <c r="H1233" s="18"/>
      <c r="I1233" s="189">
        <v>21763.26</v>
      </c>
      <c r="J1233" s="189">
        <v>23730</v>
      </c>
      <c r="K1233" s="189">
        <f>+J1233-I1233</f>
        <v>1966.7400000000016</v>
      </c>
      <c r="L1233" s="190" t="s">
        <v>551</v>
      </c>
    </row>
    <row r="1234" spans="1:21" s="180" customFormat="1" ht="8.25" x14ac:dyDescent="0.15">
      <c r="A1234" s="187" t="s">
        <v>726</v>
      </c>
      <c r="B1234" s="187" t="s">
        <v>1236</v>
      </c>
      <c r="C1234" s="187" t="s">
        <v>714</v>
      </c>
      <c r="D1234" s="187" t="s">
        <v>2231</v>
      </c>
      <c r="E1234" s="187" t="s">
        <v>2228</v>
      </c>
      <c r="F1234" s="188"/>
      <c r="G1234" s="18"/>
      <c r="H1234" s="18"/>
      <c r="I1234" s="189">
        <v>23321.84</v>
      </c>
      <c r="J1234" s="189">
        <v>26894</v>
      </c>
      <c r="K1234" s="189">
        <f>+J1234-I1234</f>
        <v>3572.16</v>
      </c>
      <c r="L1234" s="190" t="s">
        <v>551</v>
      </c>
    </row>
    <row r="1235" spans="1:21" s="180" customFormat="1" ht="8.25" x14ac:dyDescent="0.15">
      <c r="A1235" s="187" t="s">
        <v>726</v>
      </c>
      <c r="B1235" s="187" t="s">
        <v>1240</v>
      </c>
      <c r="C1235" s="187" t="s">
        <v>714</v>
      </c>
      <c r="D1235" s="187" t="s">
        <v>1241</v>
      </c>
      <c r="E1235" s="187" t="s">
        <v>2228</v>
      </c>
      <c r="F1235" s="188"/>
      <c r="G1235" s="18"/>
      <c r="H1235" s="18"/>
      <c r="I1235" s="189"/>
      <c r="J1235" s="189">
        <v>30000</v>
      </c>
      <c r="K1235" s="189">
        <f t="shared" ref="K1235:K1236" si="109">+J1235-H1235</f>
        <v>30000</v>
      </c>
      <c r="L1235" s="190" t="s">
        <v>551</v>
      </c>
    </row>
    <row r="1236" spans="1:21" s="180" customFormat="1" ht="8.25" x14ac:dyDescent="0.15">
      <c r="A1236" s="187" t="s">
        <v>726</v>
      </c>
      <c r="B1236" s="187" t="s">
        <v>2232</v>
      </c>
      <c r="C1236" s="187" t="s">
        <v>714</v>
      </c>
      <c r="D1236" s="187" t="s">
        <v>2233</v>
      </c>
      <c r="E1236" s="187" t="s">
        <v>2228</v>
      </c>
      <c r="F1236" s="188"/>
      <c r="G1236" s="18"/>
      <c r="H1236" s="18"/>
      <c r="I1236" s="189"/>
      <c r="J1236" s="189">
        <v>45744</v>
      </c>
      <c r="K1236" s="189">
        <f t="shared" si="109"/>
        <v>45744</v>
      </c>
      <c r="L1236" s="190" t="s">
        <v>551</v>
      </c>
    </row>
    <row r="1237" spans="1:21" s="180" customFormat="1" ht="8.25" x14ac:dyDescent="0.15">
      <c r="A1237" s="187" t="s">
        <v>726</v>
      </c>
      <c r="B1237" s="187" t="s">
        <v>1248</v>
      </c>
      <c r="C1237" s="187" t="s">
        <v>714</v>
      </c>
      <c r="D1237" s="187" t="s">
        <v>1249</v>
      </c>
      <c r="E1237" s="187" t="s">
        <v>2228</v>
      </c>
      <c r="F1237" s="188"/>
      <c r="G1237" s="18"/>
      <c r="H1237" s="189">
        <v>10787</v>
      </c>
      <c r="I1237" s="188"/>
      <c r="J1237" s="189">
        <f>10787-H$1237</f>
        <v>0</v>
      </c>
      <c r="K1237" s="189">
        <f>+J1237-I1237</f>
        <v>0</v>
      </c>
      <c r="L1237" s="190" t="s">
        <v>551</v>
      </c>
    </row>
    <row r="1238" spans="1:21" s="180" customFormat="1" ht="8.25" x14ac:dyDescent="0.15">
      <c r="A1238" s="187" t="s">
        <v>726</v>
      </c>
      <c r="B1238" s="187" t="s">
        <v>1250</v>
      </c>
      <c r="C1238" s="187" t="s">
        <v>714</v>
      </c>
      <c r="D1238" s="187" t="s">
        <v>1251</v>
      </c>
      <c r="E1238" s="187" t="s">
        <v>2228</v>
      </c>
      <c r="F1238" s="188"/>
      <c r="G1238" s="18"/>
      <c r="H1238" s="189">
        <v>10787</v>
      </c>
      <c r="I1238" s="188"/>
      <c r="J1238" s="189">
        <f t="shared" ref="J1238:J1240" si="110">10787-H$1237</f>
        <v>0</v>
      </c>
      <c r="K1238" s="189">
        <f>+J1238-I1238</f>
        <v>0</v>
      </c>
      <c r="L1238" s="190" t="s">
        <v>551</v>
      </c>
    </row>
    <row r="1239" spans="1:21" s="180" customFormat="1" ht="8.25" x14ac:dyDescent="0.15">
      <c r="A1239" s="187" t="s">
        <v>726</v>
      </c>
      <c r="B1239" s="187" t="s">
        <v>2234</v>
      </c>
      <c r="C1239" s="187" t="s">
        <v>714</v>
      </c>
      <c r="D1239" s="187" t="s">
        <v>1253</v>
      </c>
      <c r="E1239" s="187" t="s">
        <v>2228</v>
      </c>
      <c r="F1239" s="188"/>
      <c r="G1239" s="18"/>
      <c r="H1239" s="189">
        <v>10787</v>
      </c>
      <c r="I1239" s="188"/>
      <c r="J1239" s="189">
        <f t="shared" si="110"/>
        <v>0</v>
      </c>
      <c r="K1239" s="189">
        <f>+J1239-I1239</f>
        <v>0</v>
      </c>
      <c r="L1239" s="190" t="s">
        <v>551</v>
      </c>
    </row>
    <row r="1240" spans="1:21" s="180" customFormat="1" ht="8.25" x14ac:dyDescent="0.15">
      <c r="A1240" s="187" t="s">
        <v>726</v>
      </c>
      <c r="B1240" s="187" t="s">
        <v>713</v>
      </c>
      <c r="C1240" s="187" t="s">
        <v>714</v>
      </c>
      <c r="D1240" s="187" t="s">
        <v>715</v>
      </c>
      <c r="E1240" s="187" t="s">
        <v>2228</v>
      </c>
      <c r="F1240" s="188"/>
      <c r="G1240" s="18"/>
      <c r="H1240" s="189">
        <v>18000</v>
      </c>
      <c r="I1240" s="188"/>
      <c r="J1240" s="189">
        <f t="shared" si="110"/>
        <v>0</v>
      </c>
      <c r="K1240" s="189">
        <f>+J1240-I1240</f>
        <v>0</v>
      </c>
      <c r="L1240" s="190" t="s">
        <v>551</v>
      </c>
    </row>
    <row r="1241" spans="1:21" s="180" customFormat="1" ht="8.25" x14ac:dyDescent="0.15">
      <c r="A1241" s="187" t="s">
        <v>726</v>
      </c>
      <c r="B1241" s="187" t="s">
        <v>1277</v>
      </c>
      <c r="C1241" s="187" t="s">
        <v>714</v>
      </c>
      <c r="D1241" s="187" t="s">
        <v>1278</v>
      </c>
      <c r="E1241" s="187" t="s">
        <v>2228</v>
      </c>
      <c r="F1241" s="188"/>
      <c r="G1241" s="18"/>
      <c r="H1241" s="18"/>
      <c r="I1241" s="189">
        <v>8203.7999999999993</v>
      </c>
      <c r="J1241" s="189">
        <v>8208</v>
      </c>
      <c r="K1241" s="189">
        <f>+J1241-I1241</f>
        <v>4.2000000000007276</v>
      </c>
      <c r="L1241" s="190" t="s">
        <v>551</v>
      </c>
    </row>
    <row r="1242" spans="1:21" s="180" customFormat="1" ht="12" customHeight="1" x14ac:dyDescent="0.15">
      <c r="A1242" s="252" t="s">
        <v>2235</v>
      </c>
      <c r="B1242" s="252"/>
      <c r="C1242" s="252"/>
      <c r="D1242" s="252"/>
      <c r="E1242" s="252"/>
      <c r="F1242" s="252"/>
      <c r="G1242" s="252"/>
      <c r="H1242" s="237"/>
      <c r="I1242" s="237">
        <f>SUM(I1232:I1241)</f>
        <v>53288.899999999994</v>
      </c>
      <c r="J1242" s="192">
        <f>SUM(J1232:J1241)</f>
        <v>169436</v>
      </c>
      <c r="K1242" s="192">
        <f>SUM(K1232:K1241)</f>
        <v>116147.1</v>
      </c>
      <c r="L1242" s="252"/>
    </row>
    <row r="1243" spans="1:21" s="180" customFormat="1" ht="4.1500000000000004" customHeight="1" x14ac:dyDescent="0.2">
      <c r="A1243" s="197"/>
      <c r="B1243" s="197"/>
      <c r="C1243" s="197"/>
      <c r="D1243" s="197"/>
      <c r="E1243" s="197"/>
      <c r="F1243" s="197"/>
      <c r="G1243" s="197"/>
      <c r="H1243" s="198"/>
      <c r="I1243" s="199"/>
      <c r="J1243" s="199"/>
      <c r="K1243" s="199"/>
      <c r="L1243" s="197"/>
      <c r="M1243" s="197"/>
      <c r="N1243" s="197"/>
      <c r="O1243" s="197"/>
      <c r="P1243" s="197"/>
      <c r="Q1243" s="197"/>
      <c r="R1243" s="197"/>
      <c r="S1243" s="197"/>
      <c r="T1243" s="197"/>
      <c r="U1243" s="197"/>
    </row>
    <row r="1244" spans="1:21" s="180" customFormat="1" ht="9" customHeight="1" x14ac:dyDescent="0.2">
      <c r="A1244" s="187" t="s">
        <v>5</v>
      </c>
      <c r="B1244" s="187" t="s">
        <v>2236</v>
      </c>
      <c r="C1244" s="187" t="s">
        <v>942</v>
      </c>
      <c r="D1244" s="187" t="s">
        <v>1545</v>
      </c>
      <c r="E1244" s="187" t="s">
        <v>341</v>
      </c>
      <c r="F1244" s="187" t="s">
        <v>2237</v>
      </c>
      <c r="G1244" s="18">
        <v>31631</v>
      </c>
      <c r="H1244" s="18"/>
      <c r="I1244" s="18">
        <v>31630.23</v>
      </c>
      <c r="J1244" s="18">
        <v>31631</v>
      </c>
      <c r="K1244" s="18">
        <f>+J1244-I1244</f>
        <v>0.77000000000043656</v>
      </c>
      <c r="L1244" s="190" t="s">
        <v>551</v>
      </c>
      <c r="M1244" s="197"/>
      <c r="N1244" s="197"/>
      <c r="O1244" s="197"/>
      <c r="P1244" s="197"/>
      <c r="Q1244" s="197"/>
      <c r="R1244" s="197"/>
      <c r="S1244" s="197"/>
      <c r="T1244" s="197"/>
      <c r="U1244" s="197"/>
    </row>
    <row r="1245" spans="1:21" s="180" customFormat="1" ht="9.6" customHeight="1" x14ac:dyDescent="0.2">
      <c r="A1245" s="187" t="s">
        <v>5</v>
      </c>
      <c r="B1245" s="187" t="s">
        <v>2238</v>
      </c>
      <c r="C1245" s="187" t="s">
        <v>942</v>
      </c>
      <c r="D1245" s="187" t="s">
        <v>2239</v>
      </c>
      <c r="E1245" s="187" t="s">
        <v>341</v>
      </c>
      <c r="F1245" s="18"/>
      <c r="G1245" s="18">
        <v>85369</v>
      </c>
      <c r="H1245" s="18"/>
      <c r="I1245" s="18">
        <f>10000+70501.7</f>
        <v>80501.7</v>
      </c>
      <c r="J1245" s="18">
        <v>85369</v>
      </c>
      <c r="K1245" s="18">
        <f>+J1245-I1245</f>
        <v>4867.3000000000029</v>
      </c>
      <c r="L1245" s="190" t="s">
        <v>551</v>
      </c>
      <c r="M1245" s="197"/>
      <c r="N1245" s="197"/>
      <c r="O1245" s="197"/>
      <c r="P1245" s="197"/>
      <c r="Q1245" s="197"/>
      <c r="R1245" s="197"/>
      <c r="S1245" s="197"/>
      <c r="T1245" s="197"/>
      <c r="U1245" s="197"/>
    </row>
    <row r="1246" spans="1:21" s="180" customFormat="1" ht="8.65" customHeight="1" x14ac:dyDescent="0.15">
      <c r="A1246" s="187" t="s">
        <v>664</v>
      </c>
      <c r="B1246" s="187" t="s">
        <v>954</v>
      </c>
      <c r="C1246" s="187" t="s">
        <v>666</v>
      </c>
      <c r="D1246" s="187" t="s">
        <v>955</v>
      </c>
      <c r="E1246" s="187" t="s">
        <v>341</v>
      </c>
      <c r="F1246" s="187"/>
      <c r="G1246" s="188"/>
      <c r="H1246" s="18"/>
      <c r="I1246" s="189"/>
      <c r="J1246" s="189">
        <v>0</v>
      </c>
      <c r="K1246" s="189">
        <v>0</v>
      </c>
      <c r="L1246" s="190" t="s">
        <v>551</v>
      </c>
    </row>
    <row r="1247" spans="1:21" s="180" customFormat="1" ht="8.65" customHeight="1" x14ac:dyDescent="0.15">
      <c r="A1247" s="187" t="s">
        <v>664</v>
      </c>
      <c r="B1247" s="187" t="s">
        <v>665</v>
      </c>
      <c r="C1247" s="187" t="s">
        <v>666</v>
      </c>
      <c r="D1247" s="187" t="s">
        <v>667</v>
      </c>
      <c r="E1247" s="187" t="s">
        <v>341</v>
      </c>
      <c r="F1247" s="187"/>
      <c r="G1247" s="188"/>
      <c r="H1247" s="18"/>
      <c r="I1247" s="189"/>
      <c r="J1247" s="189">
        <v>0</v>
      </c>
      <c r="K1247" s="189">
        <v>0</v>
      </c>
      <c r="L1247" s="190" t="s">
        <v>551</v>
      </c>
    </row>
    <row r="1248" spans="1:21" s="180" customFormat="1" ht="8.65" customHeight="1" x14ac:dyDescent="0.15">
      <c r="A1248" s="187" t="s">
        <v>664</v>
      </c>
      <c r="B1248" s="187" t="s">
        <v>764</v>
      </c>
      <c r="C1248" s="187" t="s">
        <v>666</v>
      </c>
      <c r="D1248" s="187" t="s">
        <v>765</v>
      </c>
      <c r="E1248" s="187" t="s">
        <v>341</v>
      </c>
      <c r="F1248" s="188"/>
      <c r="G1248" s="18"/>
      <c r="H1248" s="18"/>
      <c r="I1248" s="189"/>
      <c r="J1248" s="189">
        <v>22500</v>
      </c>
      <c r="K1248" s="189">
        <f t="shared" ref="K1248:K1277" si="111">+J1248-H1248</f>
        <v>22500</v>
      </c>
      <c r="L1248" s="190" t="s">
        <v>551</v>
      </c>
    </row>
    <row r="1249" spans="1:12" s="180" customFormat="1" ht="8.65" customHeight="1" x14ac:dyDescent="0.15">
      <c r="A1249" s="187" t="s">
        <v>664</v>
      </c>
      <c r="B1249" s="187" t="s">
        <v>766</v>
      </c>
      <c r="C1249" s="187" t="s">
        <v>666</v>
      </c>
      <c r="D1249" s="187" t="s">
        <v>938</v>
      </c>
      <c r="E1249" s="187" t="s">
        <v>341</v>
      </c>
      <c r="F1249" s="188"/>
      <c r="G1249" s="18"/>
      <c r="H1249" s="18"/>
      <c r="I1249" s="189"/>
      <c r="J1249" s="189">
        <v>15000</v>
      </c>
      <c r="K1249" s="189">
        <f t="shared" si="111"/>
        <v>15000</v>
      </c>
      <c r="L1249" s="190" t="s">
        <v>551</v>
      </c>
    </row>
    <row r="1250" spans="1:12" s="180" customFormat="1" ht="8.65" customHeight="1" x14ac:dyDescent="0.15">
      <c r="A1250" s="187" t="s">
        <v>664</v>
      </c>
      <c r="B1250" s="187" t="s">
        <v>728</v>
      </c>
      <c r="C1250" s="187" t="s">
        <v>666</v>
      </c>
      <c r="D1250" s="187" t="s">
        <v>729</v>
      </c>
      <c r="E1250" s="187" t="s">
        <v>341</v>
      </c>
      <c r="F1250" s="188"/>
      <c r="G1250" s="18"/>
      <c r="H1250" s="18"/>
      <c r="I1250" s="189"/>
      <c r="J1250" s="189">
        <v>1000000</v>
      </c>
      <c r="K1250" s="189">
        <f>+J1250-H1250</f>
        <v>1000000</v>
      </c>
      <c r="L1250" s="190" t="s">
        <v>551</v>
      </c>
    </row>
    <row r="1251" spans="1:12" s="180" customFormat="1" ht="8.65" customHeight="1" x14ac:dyDescent="0.15">
      <c r="A1251" s="187" t="s">
        <v>664</v>
      </c>
      <c r="B1251" s="187" t="s">
        <v>730</v>
      </c>
      <c r="C1251" s="187" t="s">
        <v>666</v>
      </c>
      <c r="D1251" s="187" t="s">
        <v>1340</v>
      </c>
      <c r="E1251" s="187" t="s">
        <v>341</v>
      </c>
      <c r="F1251" s="188"/>
      <c r="G1251" s="18"/>
      <c r="H1251" s="18">
        <v>1000000</v>
      </c>
      <c r="I1251" s="189"/>
      <c r="J1251" s="189">
        <f>1000000-H1251</f>
        <v>0</v>
      </c>
      <c r="K1251" s="189">
        <f t="shared" ref="K1251:K1257" si="112">+J1251-I1251</f>
        <v>0</v>
      </c>
      <c r="L1251" s="190" t="s">
        <v>551</v>
      </c>
    </row>
    <row r="1252" spans="1:12" s="180" customFormat="1" ht="8.65" customHeight="1" x14ac:dyDescent="0.15">
      <c r="A1252" s="187" t="s">
        <v>664</v>
      </c>
      <c r="B1252" s="187" t="s">
        <v>732</v>
      </c>
      <c r="C1252" s="187" t="s">
        <v>666</v>
      </c>
      <c r="D1252" s="187" t="s">
        <v>733</v>
      </c>
      <c r="E1252" s="187" t="s">
        <v>341</v>
      </c>
      <c r="F1252" s="188"/>
      <c r="G1252" s="18"/>
      <c r="H1252" s="18">
        <v>2000000</v>
      </c>
      <c r="I1252" s="189"/>
      <c r="J1252" s="189">
        <f>2000000-H1252</f>
        <v>0</v>
      </c>
      <c r="K1252" s="189">
        <f t="shared" si="112"/>
        <v>0</v>
      </c>
      <c r="L1252" s="190" t="s">
        <v>551</v>
      </c>
    </row>
    <row r="1253" spans="1:12" s="180" customFormat="1" ht="8.65" customHeight="1" x14ac:dyDescent="0.15">
      <c r="A1253" s="187" t="s">
        <v>664</v>
      </c>
      <c r="B1253" s="187" t="s">
        <v>1343</v>
      </c>
      <c r="C1253" s="187" t="s">
        <v>1344</v>
      </c>
      <c r="D1253" s="187" t="s">
        <v>1345</v>
      </c>
      <c r="E1253" s="187" t="s">
        <v>341</v>
      </c>
      <c r="F1253" s="188"/>
      <c r="G1253" s="18"/>
      <c r="H1253" s="18">
        <v>350000</v>
      </c>
      <c r="I1253" s="189"/>
      <c r="J1253" s="189">
        <f>500000-H1253</f>
        <v>150000</v>
      </c>
      <c r="K1253" s="189">
        <f t="shared" si="112"/>
        <v>150000</v>
      </c>
      <c r="L1253" s="190" t="s">
        <v>551</v>
      </c>
    </row>
    <row r="1254" spans="1:12" s="180" customFormat="1" ht="8.65" customHeight="1" x14ac:dyDescent="0.15">
      <c r="A1254" s="187" t="s">
        <v>664</v>
      </c>
      <c r="B1254" s="187" t="s">
        <v>1402</v>
      </c>
      <c r="C1254" s="187" t="s">
        <v>1344</v>
      </c>
      <c r="D1254" s="187" t="s">
        <v>1403</v>
      </c>
      <c r="E1254" s="187" t="s">
        <v>341</v>
      </c>
      <c r="F1254" s="188"/>
      <c r="G1254" s="18"/>
      <c r="H1254" s="18">
        <v>200000</v>
      </c>
      <c r="I1254" s="189"/>
      <c r="J1254" s="189">
        <f>250000-H1254</f>
        <v>50000</v>
      </c>
      <c r="K1254" s="189">
        <f t="shared" si="112"/>
        <v>50000</v>
      </c>
      <c r="L1254" s="190" t="s">
        <v>551</v>
      </c>
    </row>
    <row r="1255" spans="1:12" s="180" customFormat="1" ht="8.65" customHeight="1" x14ac:dyDescent="0.15">
      <c r="A1255" s="187" t="s">
        <v>664</v>
      </c>
      <c r="B1255" s="187" t="s">
        <v>1404</v>
      </c>
      <c r="C1255" s="187" t="s">
        <v>1344</v>
      </c>
      <c r="D1255" s="187" t="s">
        <v>1405</v>
      </c>
      <c r="E1255" s="187" t="s">
        <v>341</v>
      </c>
      <c r="F1255" s="188"/>
      <c r="G1255" s="18"/>
      <c r="H1255" s="18">
        <v>150000</v>
      </c>
      <c r="I1255" s="189"/>
      <c r="J1255" s="189">
        <f>300000-H1255</f>
        <v>150000</v>
      </c>
      <c r="K1255" s="189">
        <f t="shared" si="112"/>
        <v>150000</v>
      </c>
      <c r="L1255" s="190" t="s">
        <v>551</v>
      </c>
    </row>
    <row r="1256" spans="1:12" s="180" customFormat="1" ht="8.65" customHeight="1" x14ac:dyDescent="0.15">
      <c r="A1256" s="187" t="s">
        <v>664</v>
      </c>
      <c r="B1256" s="187" t="s">
        <v>2240</v>
      </c>
      <c r="C1256" s="187" t="s">
        <v>1344</v>
      </c>
      <c r="D1256" s="187" t="s">
        <v>2241</v>
      </c>
      <c r="E1256" s="187" t="s">
        <v>341</v>
      </c>
      <c r="F1256" s="188"/>
      <c r="G1256" s="18"/>
      <c r="H1256" s="18">
        <v>40000000</v>
      </c>
      <c r="I1256" s="189"/>
      <c r="J1256" s="189">
        <f>40000000-H1256</f>
        <v>0</v>
      </c>
      <c r="K1256" s="189">
        <f t="shared" si="112"/>
        <v>0</v>
      </c>
      <c r="L1256" s="190" t="s">
        <v>551</v>
      </c>
    </row>
    <row r="1257" spans="1:12" s="180" customFormat="1" ht="8.65" customHeight="1" x14ac:dyDescent="0.15">
      <c r="A1257" s="187" t="s">
        <v>664</v>
      </c>
      <c r="B1257" s="187" t="s">
        <v>2242</v>
      </c>
      <c r="C1257" s="187" t="s">
        <v>769</v>
      </c>
      <c r="D1257" s="187" t="s">
        <v>2243</v>
      </c>
      <c r="E1257" s="187" t="s">
        <v>341</v>
      </c>
      <c r="F1257" s="188"/>
      <c r="G1257" s="18"/>
      <c r="H1257" s="18">
        <v>559125</v>
      </c>
      <c r="I1257" s="189"/>
      <c r="J1257" s="189">
        <f>559125-H1257</f>
        <v>0</v>
      </c>
      <c r="K1257" s="189">
        <f t="shared" si="112"/>
        <v>0</v>
      </c>
      <c r="L1257" s="190" t="s">
        <v>551</v>
      </c>
    </row>
    <row r="1258" spans="1:12" s="180" customFormat="1" ht="8.65" customHeight="1" x14ac:dyDescent="0.15">
      <c r="A1258" s="187" t="s">
        <v>664</v>
      </c>
      <c r="B1258" s="187" t="s">
        <v>2244</v>
      </c>
      <c r="C1258" s="187" t="s">
        <v>942</v>
      </c>
      <c r="D1258" s="187" t="s">
        <v>2245</v>
      </c>
      <c r="E1258" s="187" t="s">
        <v>341</v>
      </c>
      <c r="F1258" s="188"/>
      <c r="G1258" s="18"/>
      <c r="H1258" s="18"/>
      <c r="I1258" s="189"/>
      <c r="J1258" s="189">
        <v>6500</v>
      </c>
      <c r="K1258" s="189">
        <f>+J1258</f>
        <v>6500</v>
      </c>
      <c r="L1258" s="190" t="s">
        <v>551</v>
      </c>
    </row>
    <row r="1259" spans="1:12" s="180" customFormat="1" ht="8.65" customHeight="1" x14ac:dyDescent="0.15">
      <c r="A1259" s="187" t="s">
        <v>664</v>
      </c>
      <c r="B1259" s="187" t="s">
        <v>2246</v>
      </c>
      <c r="C1259" s="187" t="s">
        <v>942</v>
      </c>
      <c r="D1259" s="187" t="s">
        <v>968</v>
      </c>
      <c r="E1259" s="187" t="s">
        <v>341</v>
      </c>
      <c r="F1259" s="188"/>
      <c r="G1259" s="18">
        <v>320000</v>
      </c>
      <c r="H1259" s="18"/>
      <c r="I1259" s="189"/>
      <c r="J1259" s="189">
        <v>320000</v>
      </c>
      <c r="K1259" s="189">
        <f>+J1259-I1259</f>
        <v>320000</v>
      </c>
      <c r="L1259" s="190" t="s">
        <v>551</v>
      </c>
    </row>
    <row r="1260" spans="1:12" s="180" customFormat="1" ht="10.15" customHeight="1" x14ac:dyDescent="0.15">
      <c r="A1260" s="187" t="s">
        <v>664</v>
      </c>
      <c r="B1260" s="187" t="s">
        <v>1347</v>
      </c>
      <c r="C1260" s="187" t="s">
        <v>942</v>
      </c>
      <c r="D1260" s="187" t="s">
        <v>1348</v>
      </c>
      <c r="E1260" s="187" t="s">
        <v>341</v>
      </c>
      <c r="F1260" s="188"/>
      <c r="G1260" s="18"/>
      <c r="H1260" s="18">
        <v>800000</v>
      </c>
      <c r="I1260" s="189"/>
      <c r="J1260" s="189">
        <f>1600000-H1260</f>
        <v>800000</v>
      </c>
      <c r="K1260" s="189">
        <f>+J1260-I1260</f>
        <v>800000</v>
      </c>
      <c r="L1260" s="190" t="s">
        <v>551</v>
      </c>
    </row>
    <row r="1261" spans="1:12" s="180" customFormat="1" ht="8.65" customHeight="1" x14ac:dyDescent="0.15">
      <c r="A1261" s="187" t="s">
        <v>664</v>
      </c>
      <c r="B1261" s="187" t="s">
        <v>1349</v>
      </c>
      <c r="C1261" s="187" t="s">
        <v>942</v>
      </c>
      <c r="D1261" s="187" t="s">
        <v>1350</v>
      </c>
      <c r="E1261" s="187" t="s">
        <v>341</v>
      </c>
      <c r="F1261" s="188"/>
      <c r="G1261" s="18"/>
      <c r="H1261" s="18">
        <v>905000</v>
      </c>
      <c r="I1261" s="189"/>
      <c r="J1261" s="189">
        <f>960000-H1261</f>
        <v>55000</v>
      </c>
      <c r="K1261" s="189">
        <f>+J1261-I1261</f>
        <v>55000</v>
      </c>
      <c r="L1261" s="190" t="s">
        <v>551</v>
      </c>
    </row>
    <row r="1262" spans="1:12" s="180" customFormat="1" ht="8.65" customHeight="1" x14ac:dyDescent="0.15">
      <c r="A1262" s="187" t="s">
        <v>664</v>
      </c>
      <c r="B1262" s="187" t="s">
        <v>1294</v>
      </c>
      <c r="C1262" s="187" t="s">
        <v>942</v>
      </c>
      <c r="D1262" s="187" t="s">
        <v>1295</v>
      </c>
      <c r="E1262" s="187" t="s">
        <v>341</v>
      </c>
      <c r="F1262" s="188"/>
      <c r="G1262" s="18"/>
      <c r="H1262" s="18">
        <v>158607</v>
      </c>
      <c r="I1262" s="189"/>
      <c r="J1262" s="189">
        <f>3400000-H1262</f>
        <v>3241393</v>
      </c>
      <c r="K1262" s="189">
        <f>+J1262-I1262</f>
        <v>3241393</v>
      </c>
      <c r="L1262" s="190" t="s">
        <v>551</v>
      </c>
    </row>
    <row r="1263" spans="1:12" s="180" customFormat="1" ht="8.65" customHeight="1" x14ac:dyDescent="0.15">
      <c r="A1263" s="187" t="s">
        <v>664</v>
      </c>
      <c r="B1263" s="187" t="s">
        <v>2247</v>
      </c>
      <c r="C1263" s="187" t="s">
        <v>942</v>
      </c>
      <c r="D1263" s="187" t="s">
        <v>2248</v>
      </c>
      <c r="E1263" s="187" t="s">
        <v>341</v>
      </c>
      <c r="F1263" s="188"/>
      <c r="G1263" s="18">
        <v>1240000</v>
      </c>
      <c r="H1263" s="18"/>
      <c r="I1263" s="189"/>
      <c r="J1263" s="189">
        <v>1240000</v>
      </c>
      <c r="K1263" s="189">
        <f>+J1263-I1263</f>
        <v>1240000</v>
      </c>
      <c r="L1263" s="190" t="s">
        <v>551</v>
      </c>
    </row>
    <row r="1264" spans="1:12" s="180" customFormat="1" ht="8.65" customHeight="1" x14ac:dyDescent="0.15">
      <c r="A1264" s="187" t="s">
        <v>664</v>
      </c>
      <c r="B1264" s="187" t="s">
        <v>2249</v>
      </c>
      <c r="C1264" s="187" t="s">
        <v>942</v>
      </c>
      <c r="D1264" s="187" t="s">
        <v>2250</v>
      </c>
      <c r="E1264" s="187" t="s">
        <v>341</v>
      </c>
      <c r="F1264" s="188"/>
      <c r="G1264" s="18"/>
      <c r="H1264" s="18"/>
      <c r="I1264" s="189"/>
      <c r="J1264" s="189">
        <v>2600000</v>
      </c>
      <c r="K1264" s="189">
        <f t="shared" si="111"/>
        <v>2600000</v>
      </c>
      <c r="L1264" s="190" t="s">
        <v>551</v>
      </c>
    </row>
    <row r="1265" spans="1:12" s="180" customFormat="1" ht="8.65" customHeight="1" x14ac:dyDescent="0.15">
      <c r="A1265" s="187" t="s">
        <v>664</v>
      </c>
      <c r="B1265" s="187" t="s">
        <v>2251</v>
      </c>
      <c r="C1265" s="187" t="s">
        <v>942</v>
      </c>
      <c r="D1265" s="187" t="s">
        <v>2252</v>
      </c>
      <c r="E1265" s="187" t="s">
        <v>341</v>
      </c>
      <c r="F1265" s="188"/>
      <c r="G1265" s="18">
        <v>590000</v>
      </c>
      <c r="H1265" s="18"/>
      <c r="I1265" s="189"/>
      <c r="J1265" s="189">
        <v>590000</v>
      </c>
      <c r="K1265" s="189">
        <f t="shared" ref="K1265:K1276" si="113">+J1265-I1265</f>
        <v>590000</v>
      </c>
      <c r="L1265" s="190" t="s">
        <v>551</v>
      </c>
    </row>
    <row r="1266" spans="1:12" s="180" customFormat="1" ht="8.65" customHeight="1" x14ac:dyDescent="0.15">
      <c r="A1266" s="187" t="s">
        <v>664</v>
      </c>
      <c r="B1266" s="187" t="s">
        <v>678</v>
      </c>
      <c r="C1266" s="187" t="s">
        <v>676</v>
      </c>
      <c r="D1266" s="187" t="s">
        <v>679</v>
      </c>
      <c r="E1266" s="187" t="s">
        <v>341</v>
      </c>
      <c r="F1266" s="188"/>
      <c r="G1266" s="18"/>
      <c r="H1266" s="18">
        <v>17500</v>
      </c>
      <c r="I1266" s="189"/>
      <c r="J1266" s="189">
        <f>17500-H1266</f>
        <v>0</v>
      </c>
      <c r="K1266" s="189">
        <f t="shared" si="113"/>
        <v>0</v>
      </c>
      <c r="L1266" s="190" t="s">
        <v>551</v>
      </c>
    </row>
    <row r="1267" spans="1:12" s="180" customFormat="1" ht="8.65" customHeight="1" x14ac:dyDescent="0.15">
      <c r="A1267" s="187" t="s">
        <v>664</v>
      </c>
      <c r="B1267" s="187" t="s">
        <v>680</v>
      </c>
      <c r="C1267" s="187" t="s">
        <v>676</v>
      </c>
      <c r="D1267" s="187" t="s">
        <v>681</v>
      </c>
      <c r="E1267" s="187" t="s">
        <v>341</v>
      </c>
      <c r="F1267" s="188"/>
      <c r="G1267" s="18"/>
      <c r="H1267" s="18">
        <v>9242</v>
      </c>
      <c r="I1267" s="189"/>
      <c r="J1267" s="189">
        <f>17500-H1267</f>
        <v>8258</v>
      </c>
      <c r="K1267" s="189">
        <f t="shared" si="113"/>
        <v>8258</v>
      </c>
      <c r="L1267" s="190" t="s">
        <v>551</v>
      </c>
    </row>
    <row r="1268" spans="1:12" s="180" customFormat="1" ht="8.65" customHeight="1" x14ac:dyDescent="0.15">
      <c r="A1268" s="187" t="s">
        <v>664</v>
      </c>
      <c r="B1268" s="187" t="s">
        <v>1296</v>
      </c>
      <c r="C1268" s="187" t="s">
        <v>942</v>
      </c>
      <c r="D1268" s="187" t="s">
        <v>1563</v>
      </c>
      <c r="E1268" s="187" t="s">
        <v>341</v>
      </c>
      <c r="F1268" s="188"/>
      <c r="G1268" s="18"/>
      <c r="H1268" s="18">
        <v>1200000</v>
      </c>
      <c r="I1268" s="189"/>
      <c r="J1268" s="189">
        <f>1200000-H1268</f>
        <v>0</v>
      </c>
      <c r="K1268" s="189">
        <f t="shared" si="113"/>
        <v>0</v>
      </c>
      <c r="L1268" s="190" t="s">
        <v>551</v>
      </c>
    </row>
    <row r="1269" spans="1:12" s="180" customFormat="1" ht="8.65" customHeight="1" x14ac:dyDescent="0.15">
      <c r="A1269" s="187" t="s">
        <v>664</v>
      </c>
      <c r="B1269" s="187" t="s">
        <v>2253</v>
      </c>
      <c r="C1269" s="187" t="s">
        <v>942</v>
      </c>
      <c r="D1269" s="187" t="s">
        <v>2254</v>
      </c>
      <c r="E1269" s="187" t="s">
        <v>341</v>
      </c>
      <c r="F1269" s="188"/>
      <c r="G1269" s="18"/>
      <c r="H1269" s="18">
        <v>1200000</v>
      </c>
      <c r="I1269" s="189"/>
      <c r="J1269" s="189">
        <f>1200000-H1269</f>
        <v>0</v>
      </c>
      <c r="K1269" s="189">
        <f t="shared" si="113"/>
        <v>0</v>
      </c>
      <c r="L1269" s="190" t="s">
        <v>551</v>
      </c>
    </row>
    <row r="1270" spans="1:12" s="180" customFormat="1" ht="8.65" customHeight="1" x14ac:dyDescent="0.15">
      <c r="A1270" s="187" t="s">
        <v>664</v>
      </c>
      <c r="B1270" s="187" t="s">
        <v>2255</v>
      </c>
      <c r="C1270" s="187" t="s">
        <v>683</v>
      </c>
      <c r="D1270" s="187" t="s">
        <v>2256</v>
      </c>
      <c r="E1270" s="187" t="s">
        <v>341</v>
      </c>
      <c r="F1270" s="188"/>
      <c r="G1270" s="18"/>
      <c r="H1270" s="18">
        <v>10500</v>
      </c>
      <c r="I1270" s="189"/>
      <c r="J1270" s="189">
        <f>10500-H1270</f>
        <v>0</v>
      </c>
      <c r="K1270" s="189">
        <f t="shared" si="113"/>
        <v>0</v>
      </c>
      <c r="L1270" s="190" t="s">
        <v>551</v>
      </c>
    </row>
    <row r="1271" spans="1:12" s="180" customFormat="1" ht="8.65" customHeight="1" x14ac:dyDescent="0.15">
      <c r="A1271" s="187" t="s">
        <v>664</v>
      </c>
      <c r="B1271" s="187" t="s">
        <v>771</v>
      </c>
      <c r="C1271" s="187" t="s">
        <v>683</v>
      </c>
      <c r="D1271" s="187" t="s">
        <v>772</v>
      </c>
      <c r="E1271" s="187" t="s">
        <v>341</v>
      </c>
      <c r="F1271" s="188"/>
      <c r="G1271" s="18"/>
      <c r="H1271" s="18">
        <v>3750</v>
      </c>
      <c r="I1271" s="189"/>
      <c r="J1271" s="189">
        <f>3750-H1271</f>
        <v>0</v>
      </c>
      <c r="K1271" s="189">
        <f t="shared" si="113"/>
        <v>0</v>
      </c>
      <c r="L1271" s="190" t="s">
        <v>551</v>
      </c>
    </row>
    <row r="1272" spans="1:12" s="180" customFormat="1" ht="8.65" customHeight="1" x14ac:dyDescent="0.15">
      <c r="A1272" s="187" t="s">
        <v>664</v>
      </c>
      <c r="B1272" s="187" t="s">
        <v>682</v>
      </c>
      <c r="C1272" s="187" t="s">
        <v>683</v>
      </c>
      <c r="D1272" s="187" t="s">
        <v>684</v>
      </c>
      <c r="E1272" s="187" t="s">
        <v>341</v>
      </c>
      <c r="F1272" s="188"/>
      <c r="G1272" s="18"/>
      <c r="H1272" s="18">
        <v>3750</v>
      </c>
      <c r="I1272" s="189"/>
      <c r="J1272" s="189">
        <f>3750-H1272</f>
        <v>0</v>
      </c>
      <c r="K1272" s="189">
        <f t="shared" si="113"/>
        <v>0</v>
      </c>
      <c r="L1272" s="190" t="s">
        <v>551</v>
      </c>
    </row>
    <row r="1273" spans="1:12" s="180" customFormat="1" ht="8.65" customHeight="1" x14ac:dyDescent="0.15">
      <c r="A1273" s="187" t="s">
        <v>664</v>
      </c>
      <c r="B1273" s="187" t="s">
        <v>773</v>
      </c>
      <c r="C1273" s="187" t="s">
        <v>683</v>
      </c>
      <c r="D1273" s="187" t="s">
        <v>774</v>
      </c>
      <c r="E1273" s="187" t="s">
        <v>341</v>
      </c>
      <c r="F1273" s="188"/>
      <c r="G1273" s="18"/>
      <c r="H1273" s="18">
        <v>3750</v>
      </c>
      <c r="I1273" s="189"/>
      <c r="J1273" s="189">
        <f>3750-H1273</f>
        <v>0</v>
      </c>
      <c r="K1273" s="189">
        <f t="shared" si="113"/>
        <v>0</v>
      </c>
      <c r="L1273" s="190" t="s">
        <v>551</v>
      </c>
    </row>
    <row r="1274" spans="1:12" s="180" customFormat="1" ht="8.65" customHeight="1" x14ac:dyDescent="0.15">
      <c r="A1274" s="187" t="s">
        <v>664</v>
      </c>
      <c r="B1274" s="187" t="s">
        <v>685</v>
      </c>
      <c r="C1274" s="187" t="s">
        <v>683</v>
      </c>
      <c r="D1274" s="187" t="s">
        <v>686</v>
      </c>
      <c r="E1274" s="187" t="s">
        <v>341</v>
      </c>
      <c r="F1274" s="188"/>
      <c r="G1274" s="18"/>
      <c r="H1274" s="18">
        <v>3000</v>
      </c>
      <c r="I1274" s="189"/>
      <c r="J1274" s="189">
        <f>3000-H1274</f>
        <v>0</v>
      </c>
      <c r="K1274" s="189">
        <f t="shared" si="113"/>
        <v>0</v>
      </c>
      <c r="L1274" s="190" t="s">
        <v>551</v>
      </c>
    </row>
    <row r="1275" spans="1:12" s="180" customFormat="1" ht="8.65" customHeight="1" x14ac:dyDescent="0.15">
      <c r="A1275" s="187" t="s">
        <v>664</v>
      </c>
      <c r="B1275" s="187" t="s">
        <v>2257</v>
      </c>
      <c r="C1275" s="187" t="s">
        <v>666</v>
      </c>
      <c r="D1275" s="187" t="s">
        <v>2258</v>
      </c>
      <c r="E1275" s="187" t="s">
        <v>341</v>
      </c>
      <c r="F1275" s="188"/>
      <c r="G1275" s="18"/>
      <c r="H1275" s="18">
        <v>16000</v>
      </c>
      <c r="I1275" s="189"/>
      <c r="J1275" s="189">
        <f>16000-H1275</f>
        <v>0</v>
      </c>
      <c r="K1275" s="189">
        <f t="shared" si="113"/>
        <v>0</v>
      </c>
      <c r="L1275" s="190" t="s">
        <v>551</v>
      </c>
    </row>
    <row r="1276" spans="1:12" s="180" customFormat="1" ht="8.65" customHeight="1" x14ac:dyDescent="0.15">
      <c r="A1276" s="187" t="s">
        <v>664</v>
      </c>
      <c r="B1276" s="187" t="s">
        <v>1298</v>
      </c>
      <c r="C1276" s="187" t="s">
        <v>666</v>
      </c>
      <c r="D1276" s="187" t="s">
        <v>1299</v>
      </c>
      <c r="E1276" s="187" t="s">
        <v>341</v>
      </c>
      <c r="F1276" s="188"/>
      <c r="G1276" s="18"/>
      <c r="H1276" s="18">
        <v>2500000</v>
      </c>
      <c r="I1276" s="189"/>
      <c r="J1276" s="189">
        <f>2500000-H1276</f>
        <v>0</v>
      </c>
      <c r="K1276" s="189">
        <f t="shared" si="113"/>
        <v>0</v>
      </c>
      <c r="L1276" s="190" t="s">
        <v>551</v>
      </c>
    </row>
    <row r="1277" spans="1:12" s="180" customFormat="1" ht="8.65" customHeight="1" x14ac:dyDescent="0.15">
      <c r="A1277" s="187" t="s">
        <v>664</v>
      </c>
      <c r="B1277" s="187" t="s">
        <v>2259</v>
      </c>
      <c r="C1277" s="187" t="s">
        <v>666</v>
      </c>
      <c r="D1277" s="187" t="s">
        <v>2260</v>
      </c>
      <c r="E1277" s="187" t="s">
        <v>341</v>
      </c>
      <c r="F1277" s="188"/>
      <c r="G1277" s="18"/>
      <c r="H1277" s="18"/>
      <c r="I1277" s="189"/>
      <c r="J1277" s="189">
        <v>350000</v>
      </c>
      <c r="K1277" s="189">
        <f t="shared" si="111"/>
        <v>350000</v>
      </c>
      <c r="L1277" s="190" t="s">
        <v>551</v>
      </c>
    </row>
    <row r="1278" spans="1:12" s="180" customFormat="1" ht="8.65" customHeight="1" x14ac:dyDescent="0.15">
      <c r="A1278" s="187" t="s">
        <v>664</v>
      </c>
      <c r="B1278" s="187" t="s">
        <v>2261</v>
      </c>
      <c r="C1278" s="187" t="s">
        <v>925</v>
      </c>
      <c r="D1278" s="187" t="s">
        <v>2262</v>
      </c>
      <c r="E1278" s="187" t="s">
        <v>341</v>
      </c>
      <c r="F1278" s="188"/>
      <c r="G1278" s="18">
        <v>237920</v>
      </c>
      <c r="H1278" s="18"/>
      <c r="I1278" s="189"/>
      <c r="J1278" s="189">
        <v>237920</v>
      </c>
      <c r="K1278" s="189">
        <f t="shared" ref="K1278:K1297" si="114">+J1278-I1278</f>
        <v>237920</v>
      </c>
      <c r="L1278" s="190" t="s">
        <v>551</v>
      </c>
    </row>
    <row r="1279" spans="1:12" s="180" customFormat="1" ht="8.65" customHeight="1" x14ac:dyDescent="0.15">
      <c r="A1279" s="187" t="s">
        <v>664</v>
      </c>
      <c r="B1279" s="187" t="s">
        <v>2263</v>
      </c>
      <c r="C1279" s="187" t="s">
        <v>925</v>
      </c>
      <c r="D1279" s="187" t="s">
        <v>2264</v>
      </c>
      <c r="E1279" s="187" t="s">
        <v>341</v>
      </c>
      <c r="F1279" s="188"/>
      <c r="G1279" s="18">
        <v>66000</v>
      </c>
      <c r="H1279" s="18"/>
      <c r="I1279" s="189"/>
      <c r="J1279" s="189">
        <v>66000</v>
      </c>
      <c r="K1279" s="189">
        <f t="shared" si="114"/>
        <v>66000</v>
      </c>
      <c r="L1279" s="190" t="s">
        <v>551</v>
      </c>
    </row>
    <row r="1280" spans="1:12" s="180" customFormat="1" ht="8.65" customHeight="1" x14ac:dyDescent="0.15">
      <c r="A1280" s="187" t="s">
        <v>664</v>
      </c>
      <c r="B1280" s="187" t="s">
        <v>2265</v>
      </c>
      <c r="C1280" s="187" t="s">
        <v>714</v>
      </c>
      <c r="D1280" s="187" t="s">
        <v>2266</v>
      </c>
      <c r="E1280" s="187" t="s">
        <v>341</v>
      </c>
      <c r="F1280" s="188"/>
      <c r="G1280" s="18">
        <v>150000</v>
      </c>
      <c r="H1280" s="18"/>
      <c r="I1280" s="189"/>
      <c r="J1280" s="189">
        <v>150000</v>
      </c>
      <c r="K1280" s="189">
        <f t="shared" si="114"/>
        <v>150000</v>
      </c>
      <c r="L1280" s="190" t="s">
        <v>551</v>
      </c>
    </row>
    <row r="1281" spans="1:12" s="180" customFormat="1" ht="8.65" customHeight="1" x14ac:dyDescent="0.15">
      <c r="A1281" s="187" t="s">
        <v>664</v>
      </c>
      <c r="B1281" s="187" t="s">
        <v>2267</v>
      </c>
      <c r="C1281" s="187" t="s">
        <v>714</v>
      </c>
      <c r="D1281" s="187" t="s">
        <v>1253</v>
      </c>
      <c r="E1281" s="187" t="s">
        <v>341</v>
      </c>
      <c r="F1281" s="188"/>
      <c r="G1281" s="18">
        <v>155000</v>
      </c>
      <c r="H1281" s="18"/>
      <c r="I1281" s="189"/>
      <c r="J1281" s="189">
        <v>155000</v>
      </c>
      <c r="K1281" s="189">
        <f t="shared" si="114"/>
        <v>155000</v>
      </c>
      <c r="L1281" s="190" t="s">
        <v>551</v>
      </c>
    </row>
    <row r="1282" spans="1:12" s="180" customFormat="1" ht="8.65" customHeight="1" x14ac:dyDescent="0.15">
      <c r="A1282" s="187" t="s">
        <v>664</v>
      </c>
      <c r="B1282" s="187" t="s">
        <v>2268</v>
      </c>
      <c r="C1282" s="187" t="s">
        <v>714</v>
      </c>
      <c r="D1282" s="187" t="s">
        <v>1255</v>
      </c>
      <c r="E1282" s="187" t="s">
        <v>341</v>
      </c>
      <c r="F1282" s="188"/>
      <c r="G1282" s="18">
        <v>500000</v>
      </c>
      <c r="H1282" s="18"/>
      <c r="I1282" s="189"/>
      <c r="J1282" s="189">
        <v>500000</v>
      </c>
      <c r="K1282" s="189">
        <f t="shared" si="114"/>
        <v>500000</v>
      </c>
      <c r="L1282" s="190" t="s">
        <v>551</v>
      </c>
    </row>
    <row r="1283" spans="1:12" s="180" customFormat="1" ht="8.65" customHeight="1" x14ac:dyDescent="0.15">
      <c r="A1283" s="187" t="s">
        <v>664</v>
      </c>
      <c r="B1283" s="187" t="s">
        <v>1258</v>
      </c>
      <c r="C1283" s="187" t="s">
        <v>707</v>
      </c>
      <c r="D1283" s="187" t="s">
        <v>2269</v>
      </c>
      <c r="E1283" s="187" t="s">
        <v>341</v>
      </c>
      <c r="F1283" s="188"/>
      <c r="G1283" s="18"/>
      <c r="H1283" s="18">
        <v>20381.47</v>
      </c>
      <c r="I1283" s="189"/>
      <c r="J1283" s="189">
        <f>50000-H1283</f>
        <v>29618.53</v>
      </c>
      <c r="K1283" s="189">
        <f t="shared" si="114"/>
        <v>29618.53</v>
      </c>
      <c r="L1283" s="190" t="s">
        <v>551</v>
      </c>
    </row>
    <row r="1284" spans="1:12" s="180" customFormat="1" ht="8.65" customHeight="1" x14ac:dyDescent="0.15">
      <c r="A1284" s="187" t="s">
        <v>664</v>
      </c>
      <c r="B1284" s="187" t="s">
        <v>1355</v>
      </c>
      <c r="C1284" s="187" t="s">
        <v>714</v>
      </c>
      <c r="D1284" s="187" t="s">
        <v>1356</v>
      </c>
      <c r="E1284" s="187" t="s">
        <v>341</v>
      </c>
      <c r="F1284" s="188"/>
      <c r="G1284" s="18"/>
      <c r="H1284" s="18">
        <v>480000</v>
      </c>
      <c r="I1284" s="189"/>
      <c r="J1284" s="189">
        <f>480000-H1284</f>
        <v>0</v>
      </c>
      <c r="K1284" s="189">
        <f t="shared" si="114"/>
        <v>0</v>
      </c>
      <c r="L1284" s="190" t="s">
        <v>551</v>
      </c>
    </row>
    <row r="1285" spans="1:12" s="180" customFormat="1" ht="8.65" customHeight="1" x14ac:dyDescent="0.15">
      <c r="A1285" s="187" t="s">
        <v>664</v>
      </c>
      <c r="B1285" s="187" t="s">
        <v>736</v>
      </c>
      <c r="C1285" s="187" t="s">
        <v>683</v>
      </c>
      <c r="D1285" s="187" t="s">
        <v>737</v>
      </c>
      <c r="E1285" s="187" t="s">
        <v>341</v>
      </c>
      <c r="F1285" s="188"/>
      <c r="G1285" s="18"/>
      <c r="H1285" s="18">
        <v>4000</v>
      </c>
      <c r="I1285" s="189"/>
      <c r="J1285" s="189">
        <f>4000-H1285</f>
        <v>0</v>
      </c>
      <c r="K1285" s="189">
        <f t="shared" si="114"/>
        <v>0</v>
      </c>
      <c r="L1285" s="190" t="s">
        <v>551</v>
      </c>
    </row>
    <row r="1286" spans="1:12" s="180" customFormat="1" ht="8.65" customHeight="1" x14ac:dyDescent="0.15">
      <c r="A1286" s="187" t="s">
        <v>664</v>
      </c>
      <c r="B1286" s="187" t="s">
        <v>738</v>
      </c>
      <c r="C1286" s="187" t="s">
        <v>683</v>
      </c>
      <c r="D1286" s="187" t="s">
        <v>739</v>
      </c>
      <c r="E1286" s="187" t="s">
        <v>341</v>
      </c>
      <c r="F1286" s="188"/>
      <c r="G1286" s="18"/>
      <c r="H1286" s="18">
        <v>6000</v>
      </c>
      <c r="I1286" s="189"/>
      <c r="J1286" s="189">
        <f>6000-H1286</f>
        <v>0</v>
      </c>
      <c r="K1286" s="189">
        <f t="shared" si="114"/>
        <v>0</v>
      </c>
      <c r="L1286" s="190" t="s">
        <v>551</v>
      </c>
    </row>
    <row r="1287" spans="1:12" s="180" customFormat="1" ht="8.65" customHeight="1" x14ac:dyDescent="0.15">
      <c r="A1287" s="187" t="s">
        <v>664</v>
      </c>
      <c r="B1287" s="187" t="s">
        <v>691</v>
      </c>
      <c r="C1287" s="187" t="s">
        <v>683</v>
      </c>
      <c r="D1287" s="187" t="s">
        <v>692</v>
      </c>
      <c r="E1287" s="187" t="s">
        <v>341</v>
      </c>
      <c r="F1287" s="188"/>
      <c r="G1287" s="18"/>
      <c r="H1287" s="18">
        <v>1830</v>
      </c>
      <c r="I1287" s="189"/>
      <c r="J1287" s="189">
        <f>1830-H1287</f>
        <v>0</v>
      </c>
      <c r="K1287" s="189">
        <f t="shared" si="114"/>
        <v>0</v>
      </c>
      <c r="L1287" s="190" t="s">
        <v>551</v>
      </c>
    </row>
    <row r="1288" spans="1:12" s="180" customFormat="1" ht="8.65" customHeight="1" x14ac:dyDescent="0.15">
      <c r="A1288" s="187" t="s">
        <v>664</v>
      </c>
      <c r="B1288" s="187" t="s">
        <v>779</v>
      </c>
      <c r="C1288" s="187" t="s">
        <v>683</v>
      </c>
      <c r="D1288" s="187" t="s">
        <v>780</v>
      </c>
      <c r="E1288" s="187" t="s">
        <v>341</v>
      </c>
      <c r="F1288" s="188"/>
      <c r="G1288" s="18"/>
      <c r="H1288" s="18">
        <v>15000</v>
      </c>
      <c r="I1288" s="189"/>
      <c r="J1288" s="189">
        <f>15000-H1288</f>
        <v>0</v>
      </c>
      <c r="K1288" s="189">
        <f t="shared" si="114"/>
        <v>0</v>
      </c>
      <c r="L1288" s="190" t="s">
        <v>551</v>
      </c>
    </row>
    <row r="1289" spans="1:12" s="180" customFormat="1" ht="8.65" customHeight="1" x14ac:dyDescent="0.15">
      <c r="A1289" s="187" t="s">
        <v>664</v>
      </c>
      <c r="B1289" s="187" t="s">
        <v>698</v>
      </c>
      <c r="C1289" s="187" t="s">
        <v>683</v>
      </c>
      <c r="D1289" s="187" t="s">
        <v>699</v>
      </c>
      <c r="E1289" s="187" t="s">
        <v>341</v>
      </c>
      <c r="F1289" s="188"/>
      <c r="G1289" s="18"/>
      <c r="H1289" s="18">
        <v>50000</v>
      </c>
      <c r="I1289" s="189"/>
      <c r="J1289" s="189">
        <f>50000-H1289</f>
        <v>0</v>
      </c>
      <c r="K1289" s="189">
        <f t="shared" si="114"/>
        <v>0</v>
      </c>
      <c r="L1289" s="190" t="s">
        <v>551</v>
      </c>
    </row>
    <row r="1290" spans="1:12" s="180" customFormat="1" ht="8.65" customHeight="1" x14ac:dyDescent="0.15">
      <c r="A1290" s="187" t="s">
        <v>664</v>
      </c>
      <c r="B1290" s="187" t="s">
        <v>958</v>
      </c>
      <c r="C1290" s="187" t="s">
        <v>666</v>
      </c>
      <c r="D1290" s="187" t="s">
        <v>959</v>
      </c>
      <c r="E1290" s="187" t="s">
        <v>341</v>
      </c>
      <c r="F1290" s="188"/>
      <c r="G1290" s="18"/>
      <c r="H1290" s="18">
        <v>12000</v>
      </c>
      <c r="I1290" s="189"/>
      <c r="J1290" s="189">
        <f>12000-H1290</f>
        <v>0</v>
      </c>
      <c r="K1290" s="189">
        <f t="shared" si="114"/>
        <v>0</v>
      </c>
      <c r="L1290" s="190" t="s">
        <v>551</v>
      </c>
    </row>
    <row r="1291" spans="1:12" s="211" customFormat="1" ht="8.65" customHeight="1" x14ac:dyDescent="0.15">
      <c r="A1291" s="187" t="s">
        <v>664</v>
      </c>
      <c r="B1291" s="187" t="s">
        <v>799</v>
      </c>
      <c r="C1291" s="187" t="s">
        <v>666</v>
      </c>
      <c r="D1291" s="187" t="s">
        <v>800</v>
      </c>
      <c r="E1291" s="187" t="s">
        <v>341</v>
      </c>
      <c r="F1291" s="188"/>
      <c r="G1291" s="18"/>
      <c r="H1291" s="18">
        <v>27000</v>
      </c>
      <c r="I1291" s="189"/>
      <c r="J1291" s="189">
        <f>27000-H1291</f>
        <v>0</v>
      </c>
      <c r="K1291" s="189">
        <f t="shared" si="114"/>
        <v>0</v>
      </c>
      <c r="L1291" s="190" t="s">
        <v>551</v>
      </c>
    </row>
    <row r="1292" spans="1:12" s="180" customFormat="1" ht="8.65" customHeight="1" x14ac:dyDescent="0.15">
      <c r="A1292" s="187" t="s">
        <v>664</v>
      </c>
      <c r="B1292" s="187" t="s">
        <v>2173</v>
      </c>
      <c r="C1292" s="187" t="s">
        <v>683</v>
      </c>
      <c r="D1292" s="187" t="s">
        <v>2174</v>
      </c>
      <c r="E1292" s="187" t="s">
        <v>341</v>
      </c>
      <c r="F1292" s="188"/>
      <c r="G1292" s="18"/>
      <c r="H1292" s="18">
        <v>5000</v>
      </c>
      <c r="I1292" s="189"/>
      <c r="J1292" s="189">
        <f>5000-H1292</f>
        <v>0</v>
      </c>
      <c r="K1292" s="189">
        <f t="shared" si="114"/>
        <v>0</v>
      </c>
      <c r="L1292" s="190" t="s">
        <v>551</v>
      </c>
    </row>
    <row r="1293" spans="1:12" s="180" customFormat="1" ht="8.65" customHeight="1" x14ac:dyDescent="0.15">
      <c r="A1293" s="187" t="s">
        <v>664</v>
      </c>
      <c r="B1293" s="187" t="s">
        <v>960</v>
      </c>
      <c r="C1293" s="187" t="s">
        <v>683</v>
      </c>
      <c r="D1293" s="187" t="s">
        <v>961</v>
      </c>
      <c r="E1293" s="187" t="s">
        <v>341</v>
      </c>
      <c r="F1293" s="188"/>
      <c r="G1293" s="18"/>
      <c r="H1293" s="18">
        <v>3600</v>
      </c>
      <c r="I1293" s="189"/>
      <c r="J1293" s="189">
        <f>3600-H1293</f>
        <v>0</v>
      </c>
      <c r="K1293" s="189">
        <f t="shared" si="114"/>
        <v>0</v>
      </c>
      <c r="L1293" s="190" t="s">
        <v>551</v>
      </c>
    </row>
    <row r="1294" spans="1:12" s="180" customFormat="1" ht="8.65" customHeight="1" x14ac:dyDescent="0.15">
      <c r="A1294" s="187" t="s">
        <v>664</v>
      </c>
      <c r="B1294" s="187" t="s">
        <v>850</v>
      </c>
      <c r="C1294" s="187" t="s">
        <v>683</v>
      </c>
      <c r="D1294" s="187" t="s">
        <v>851</v>
      </c>
      <c r="E1294" s="187" t="s">
        <v>341</v>
      </c>
      <c r="F1294" s="188"/>
      <c r="G1294" s="18"/>
      <c r="H1294" s="18">
        <v>2550</v>
      </c>
      <c r="I1294" s="189"/>
      <c r="J1294" s="189">
        <f>2550-H1294</f>
        <v>0</v>
      </c>
      <c r="K1294" s="189">
        <f t="shared" si="114"/>
        <v>0</v>
      </c>
      <c r="L1294" s="190" t="s">
        <v>551</v>
      </c>
    </row>
    <row r="1295" spans="1:12" s="180" customFormat="1" ht="8.65" customHeight="1" x14ac:dyDescent="0.15">
      <c r="A1295" s="187" t="s">
        <v>664</v>
      </c>
      <c r="B1295" s="187" t="s">
        <v>803</v>
      </c>
      <c r="C1295" s="187" t="s">
        <v>683</v>
      </c>
      <c r="D1295" s="187" t="s">
        <v>869</v>
      </c>
      <c r="E1295" s="187" t="s">
        <v>341</v>
      </c>
      <c r="F1295" s="188"/>
      <c r="G1295" s="18"/>
      <c r="H1295" s="18">
        <v>22500</v>
      </c>
      <c r="I1295" s="189"/>
      <c r="J1295" s="189">
        <f>22500-H1295</f>
        <v>0</v>
      </c>
      <c r="K1295" s="189">
        <f t="shared" si="114"/>
        <v>0</v>
      </c>
      <c r="L1295" s="190" t="s">
        <v>551</v>
      </c>
    </row>
    <row r="1296" spans="1:12" s="180" customFormat="1" ht="8.65" customHeight="1" x14ac:dyDescent="0.15">
      <c r="A1296" s="187" t="s">
        <v>664</v>
      </c>
      <c r="B1296" s="187" t="s">
        <v>870</v>
      </c>
      <c r="C1296" s="187" t="s">
        <v>683</v>
      </c>
      <c r="D1296" s="187" t="s">
        <v>1113</v>
      </c>
      <c r="E1296" s="187" t="s">
        <v>341</v>
      </c>
      <c r="F1296" s="188"/>
      <c r="G1296" s="18"/>
      <c r="H1296" s="18">
        <v>4350</v>
      </c>
      <c r="I1296" s="189"/>
      <c r="J1296" s="189">
        <f>4350-H1296</f>
        <v>0</v>
      </c>
      <c r="K1296" s="189">
        <f t="shared" si="114"/>
        <v>0</v>
      </c>
      <c r="L1296" s="190" t="s">
        <v>551</v>
      </c>
    </row>
    <row r="1297" spans="1:12" s="180" customFormat="1" ht="8.65" customHeight="1" x14ac:dyDescent="0.15">
      <c r="A1297" s="187" t="s">
        <v>664</v>
      </c>
      <c r="B1297" s="187" t="s">
        <v>2175</v>
      </c>
      <c r="C1297" s="187" t="s">
        <v>683</v>
      </c>
      <c r="D1297" s="187" t="s">
        <v>2176</v>
      </c>
      <c r="E1297" s="187" t="s">
        <v>341</v>
      </c>
      <c r="F1297" s="188"/>
      <c r="G1297" s="18"/>
      <c r="H1297" s="18">
        <v>9960</v>
      </c>
      <c r="I1297" s="189"/>
      <c r="J1297" s="189">
        <f>9960-H1297</f>
        <v>0</v>
      </c>
      <c r="K1297" s="189">
        <f t="shared" si="114"/>
        <v>0</v>
      </c>
      <c r="L1297" s="190" t="s">
        <v>551</v>
      </c>
    </row>
    <row r="1298" spans="1:12" s="180" customFormat="1" ht="8.65" customHeight="1" x14ac:dyDescent="0.15">
      <c r="A1298" s="187" t="s">
        <v>664</v>
      </c>
      <c r="B1298" s="187" t="s">
        <v>746</v>
      </c>
      <c r="C1298" s="187" t="s">
        <v>683</v>
      </c>
      <c r="D1298" s="187" t="s">
        <v>747</v>
      </c>
      <c r="E1298" s="187" t="s">
        <v>341</v>
      </c>
      <c r="F1298" s="188"/>
      <c r="G1298" s="18"/>
      <c r="H1298" s="18">
        <v>2640</v>
      </c>
      <c r="I1298" s="189"/>
      <c r="J1298" s="189">
        <f>2640-H1298</f>
        <v>0</v>
      </c>
      <c r="K1298" s="189">
        <f>+I1298</f>
        <v>0</v>
      </c>
      <c r="L1298" s="190" t="s">
        <v>551</v>
      </c>
    </row>
    <row r="1299" spans="1:12" s="180" customFormat="1" ht="8.65" customHeight="1" x14ac:dyDescent="0.15">
      <c r="A1299" s="187" t="s">
        <v>664</v>
      </c>
      <c r="B1299" s="187" t="s">
        <v>1325</v>
      </c>
      <c r="C1299" s="187" t="s">
        <v>683</v>
      </c>
      <c r="D1299" s="187" t="s">
        <v>1326</v>
      </c>
      <c r="E1299" s="187" t="s">
        <v>341</v>
      </c>
      <c r="F1299" s="188"/>
      <c r="G1299" s="18"/>
      <c r="H1299" s="18">
        <v>2625</v>
      </c>
      <c r="I1299" s="189"/>
      <c r="J1299" s="189">
        <f>2625-H1299</f>
        <v>0</v>
      </c>
      <c r="K1299" s="189">
        <f t="shared" ref="K1299:K1304" si="115">+J1299-I1299</f>
        <v>0</v>
      </c>
      <c r="L1299" s="190" t="s">
        <v>551</v>
      </c>
    </row>
    <row r="1300" spans="1:12" s="180" customFormat="1" ht="8.65" customHeight="1" x14ac:dyDescent="0.15">
      <c r="A1300" s="187" t="s">
        <v>664</v>
      </c>
      <c r="B1300" s="187" t="s">
        <v>991</v>
      </c>
      <c r="C1300" s="187" t="s">
        <v>683</v>
      </c>
      <c r="D1300" s="187" t="s">
        <v>992</v>
      </c>
      <c r="E1300" s="187" t="s">
        <v>341</v>
      </c>
      <c r="F1300" s="188"/>
      <c r="G1300" s="18"/>
      <c r="H1300" s="18">
        <v>4200</v>
      </c>
      <c r="I1300" s="189"/>
      <c r="J1300" s="189">
        <f>4200-H1300</f>
        <v>0</v>
      </c>
      <c r="K1300" s="189">
        <f t="shared" si="115"/>
        <v>0</v>
      </c>
      <c r="L1300" s="190" t="s">
        <v>551</v>
      </c>
    </row>
    <row r="1301" spans="1:12" s="180" customFormat="1" ht="8.65" customHeight="1" x14ac:dyDescent="0.15">
      <c r="A1301" s="187" t="s">
        <v>664</v>
      </c>
      <c r="B1301" s="187" t="s">
        <v>854</v>
      </c>
      <c r="C1301" s="187" t="s">
        <v>683</v>
      </c>
      <c r="D1301" s="187" t="s">
        <v>855</v>
      </c>
      <c r="E1301" s="187" t="s">
        <v>341</v>
      </c>
      <c r="F1301" s="188"/>
      <c r="G1301" s="18"/>
      <c r="H1301" s="18">
        <v>3600</v>
      </c>
      <c r="I1301" s="189"/>
      <c r="J1301" s="189">
        <f>3600-H1301</f>
        <v>0</v>
      </c>
      <c r="K1301" s="189">
        <f t="shared" si="115"/>
        <v>0</v>
      </c>
      <c r="L1301" s="190" t="s">
        <v>551</v>
      </c>
    </row>
    <row r="1302" spans="1:12" s="180" customFormat="1" ht="8.65" customHeight="1" x14ac:dyDescent="0.15">
      <c r="A1302" s="187" t="s">
        <v>664</v>
      </c>
      <c r="B1302" s="187" t="s">
        <v>2270</v>
      </c>
      <c r="C1302" s="187" t="s">
        <v>683</v>
      </c>
      <c r="D1302" s="187" t="s">
        <v>2271</v>
      </c>
      <c r="E1302" s="187" t="s">
        <v>341</v>
      </c>
      <c r="F1302" s="188"/>
      <c r="G1302" s="18"/>
      <c r="H1302" s="18">
        <v>6900</v>
      </c>
      <c r="I1302" s="189"/>
      <c r="J1302" s="189">
        <f>6900-H1302</f>
        <v>0</v>
      </c>
      <c r="K1302" s="189">
        <f t="shared" si="115"/>
        <v>0</v>
      </c>
      <c r="L1302" s="190" t="s">
        <v>551</v>
      </c>
    </row>
    <row r="1303" spans="1:12" s="180" customFormat="1" ht="8.65" customHeight="1" x14ac:dyDescent="0.15">
      <c r="A1303" s="187" t="s">
        <v>664</v>
      </c>
      <c r="B1303" s="187" t="s">
        <v>2272</v>
      </c>
      <c r="C1303" s="187" t="s">
        <v>683</v>
      </c>
      <c r="D1303" s="187" t="s">
        <v>2273</v>
      </c>
      <c r="E1303" s="187" t="s">
        <v>341</v>
      </c>
      <c r="F1303" s="188"/>
      <c r="G1303" s="18"/>
      <c r="H1303" s="18">
        <v>2000</v>
      </c>
      <c r="I1303" s="189"/>
      <c r="J1303" s="189">
        <f>2000-H1303</f>
        <v>0</v>
      </c>
      <c r="K1303" s="189">
        <f t="shared" si="115"/>
        <v>0</v>
      </c>
      <c r="L1303" s="190" t="s">
        <v>551</v>
      </c>
    </row>
    <row r="1304" spans="1:12" s="180" customFormat="1" ht="8.65" customHeight="1" x14ac:dyDescent="0.15">
      <c r="A1304" s="187" t="s">
        <v>664</v>
      </c>
      <c r="B1304" s="187" t="s">
        <v>813</v>
      </c>
      <c r="C1304" s="187" t="s">
        <v>666</v>
      </c>
      <c r="D1304" s="187" t="s">
        <v>2274</v>
      </c>
      <c r="E1304" s="187" t="s">
        <v>341</v>
      </c>
      <c r="F1304" s="188"/>
      <c r="G1304" s="18"/>
      <c r="H1304" s="18">
        <v>40000</v>
      </c>
      <c r="I1304" s="189"/>
      <c r="J1304" s="189">
        <f>40000-H1304</f>
        <v>0</v>
      </c>
      <c r="K1304" s="189">
        <f t="shared" si="115"/>
        <v>0</v>
      </c>
      <c r="L1304" s="190" t="s">
        <v>551</v>
      </c>
    </row>
    <row r="1305" spans="1:12" s="180" customFormat="1" ht="8.65" customHeight="1" x14ac:dyDescent="0.15">
      <c r="A1305" s="187" t="s">
        <v>664</v>
      </c>
      <c r="B1305" s="187" t="s">
        <v>819</v>
      </c>
      <c r="C1305" s="187" t="s">
        <v>666</v>
      </c>
      <c r="D1305" s="187" t="s">
        <v>820</v>
      </c>
      <c r="E1305" s="187" t="s">
        <v>341</v>
      </c>
      <c r="F1305" s="188"/>
      <c r="G1305" s="18"/>
      <c r="H1305" s="18">
        <v>6000</v>
      </c>
      <c r="I1305" s="189"/>
      <c r="J1305" s="189">
        <f>6000-H1305</f>
        <v>0</v>
      </c>
      <c r="K1305" s="189">
        <f>-J1305+I1305</f>
        <v>0</v>
      </c>
      <c r="L1305" s="190" t="s">
        <v>551</v>
      </c>
    </row>
    <row r="1306" spans="1:12" s="180" customFormat="1" ht="8.65" customHeight="1" x14ac:dyDescent="0.15">
      <c r="A1306" s="187" t="s">
        <v>664</v>
      </c>
      <c r="B1306" s="187" t="s">
        <v>702</v>
      </c>
      <c r="C1306" s="187" t="s">
        <v>666</v>
      </c>
      <c r="D1306" s="187" t="s">
        <v>2275</v>
      </c>
      <c r="E1306" s="187" t="s">
        <v>341</v>
      </c>
      <c r="F1306" s="188"/>
      <c r="G1306" s="18"/>
      <c r="H1306" s="18">
        <v>60000</v>
      </c>
      <c r="I1306" s="189"/>
      <c r="J1306" s="189">
        <f>60000-H1306</f>
        <v>0</v>
      </c>
      <c r="K1306" s="189">
        <f>+J1306-I1306</f>
        <v>0</v>
      </c>
      <c r="L1306" s="190" t="s">
        <v>551</v>
      </c>
    </row>
    <row r="1307" spans="1:12" s="180" customFormat="1" ht="8.65" customHeight="1" x14ac:dyDescent="0.15">
      <c r="A1307" s="187" t="s">
        <v>664</v>
      </c>
      <c r="B1307" s="187" t="s">
        <v>704</v>
      </c>
      <c r="C1307" s="187" t="s">
        <v>683</v>
      </c>
      <c r="D1307" s="187" t="s">
        <v>966</v>
      </c>
      <c r="E1307" s="187" t="s">
        <v>341</v>
      </c>
      <c r="F1307" s="188"/>
      <c r="G1307" s="18"/>
      <c r="H1307" s="18">
        <v>3000</v>
      </c>
      <c r="I1307" s="189"/>
      <c r="J1307" s="189">
        <f>3000-H1307</f>
        <v>0</v>
      </c>
      <c r="K1307" s="189">
        <f>+J1307-I1307</f>
        <v>0</v>
      </c>
      <c r="L1307" s="190" t="s">
        <v>551</v>
      </c>
    </row>
    <row r="1308" spans="1:12" s="180" customFormat="1" ht="8.65" customHeight="1" x14ac:dyDescent="0.15">
      <c r="A1308" s="187" t="s">
        <v>664</v>
      </c>
      <c r="B1308" s="187" t="s">
        <v>822</v>
      </c>
      <c r="C1308" s="187" t="s">
        <v>683</v>
      </c>
      <c r="D1308" s="187" t="s">
        <v>823</v>
      </c>
      <c r="E1308" s="187" t="s">
        <v>341</v>
      </c>
      <c r="F1308" s="188"/>
      <c r="G1308" s="18"/>
      <c r="H1308" s="18">
        <v>9000</v>
      </c>
      <c r="I1308" s="189"/>
      <c r="J1308" s="189">
        <f>9000-H1308</f>
        <v>0</v>
      </c>
      <c r="K1308" s="189">
        <f>+J1308-I1308</f>
        <v>0</v>
      </c>
      <c r="L1308" s="190" t="s">
        <v>551</v>
      </c>
    </row>
    <row r="1309" spans="1:12" s="180" customFormat="1" ht="8.65" customHeight="1" x14ac:dyDescent="0.15">
      <c r="A1309" s="187" t="s">
        <v>664</v>
      </c>
      <c r="B1309" s="187" t="s">
        <v>824</v>
      </c>
      <c r="C1309" s="187" t="s">
        <v>683</v>
      </c>
      <c r="D1309" s="187" t="s">
        <v>825</v>
      </c>
      <c r="E1309" s="187" t="s">
        <v>341</v>
      </c>
      <c r="F1309" s="188"/>
      <c r="G1309" s="18"/>
      <c r="H1309" s="18">
        <v>15600</v>
      </c>
      <c r="I1309" s="189"/>
      <c r="J1309" s="189">
        <f>15600-H1309</f>
        <v>0</v>
      </c>
      <c r="K1309" s="189">
        <f>+J1309-I1309</f>
        <v>0</v>
      </c>
      <c r="L1309" s="190" t="s">
        <v>551</v>
      </c>
    </row>
    <row r="1310" spans="1:12" s="180" customFormat="1" ht="8.65" customHeight="1" x14ac:dyDescent="0.15">
      <c r="A1310" s="187" t="s">
        <v>664</v>
      </c>
      <c r="B1310" s="187" t="s">
        <v>828</v>
      </c>
      <c r="C1310" s="187" t="s">
        <v>707</v>
      </c>
      <c r="D1310" s="187" t="s">
        <v>2155</v>
      </c>
      <c r="E1310" s="187" t="s">
        <v>341</v>
      </c>
      <c r="F1310" s="188"/>
      <c r="G1310" s="18"/>
      <c r="H1310" s="18">
        <v>90000</v>
      </c>
      <c r="I1310" s="189"/>
      <c r="J1310" s="189">
        <f>90000-H1310</f>
        <v>0</v>
      </c>
      <c r="K1310" s="189">
        <f>+J1310-I1310</f>
        <v>0</v>
      </c>
      <c r="L1310" s="190" t="s">
        <v>551</v>
      </c>
    </row>
    <row r="1311" spans="1:12" s="210" customFormat="1" ht="8.65" customHeight="1" x14ac:dyDescent="0.15">
      <c r="A1311" s="187" t="s">
        <v>664</v>
      </c>
      <c r="B1311" s="187" t="s">
        <v>713</v>
      </c>
      <c r="C1311" s="187" t="s">
        <v>714</v>
      </c>
      <c r="D1311" s="187" t="s">
        <v>715</v>
      </c>
      <c r="E1311" s="187" t="s">
        <v>341</v>
      </c>
      <c r="F1311" s="188"/>
      <c r="G1311" s="18"/>
      <c r="H1311" s="18"/>
      <c r="I1311" s="189"/>
      <c r="J1311" s="189">
        <v>24000</v>
      </c>
      <c r="K1311" s="189">
        <f t="shared" ref="K1311:K1320" si="116">+J1311-H1311</f>
        <v>24000</v>
      </c>
      <c r="L1311" s="190" t="s">
        <v>551</v>
      </c>
    </row>
    <row r="1312" spans="1:12" s="210" customFormat="1" ht="8.65" customHeight="1" x14ac:dyDescent="0.15">
      <c r="A1312" s="187" t="s">
        <v>664</v>
      </c>
      <c r="B1312" s="187" t="s">
        <v>2276</v>
      </c>
      <c r="C1312" s="187" t="s">
        <v>714</v>
      </c>
      <c r="D1312" s="187" t="s">
        <v>1272</v>
      </c>
      <c r="E1312" s="187" t="s">
        <v>341</v>
      </c>
      <c r="F1312" s="188"/>
      <c r="G1312" s="18">
        <v>155000</v>
      </c>
      <c r="H1312" s="18"/>
      <c r="I1312" s="189"/>
      <c r="J1312" s="189">
        <v>155000</v>
      </c>
      <c r="K1312" s="189">
        <f>+J1312-I1312</f>
        <v>155000</v>
      </c>
      <c r="L1312" s="190" t="s">
        <v>551</v>
      </c>
    </row>
    <row r="1313" spans="1:23" s="180" customFormat="1" ht="8.65" customHeight="1" x14ac:dyDescent="0.15">
      <c r="A1313" s="187" t="s">
        <v>664</v>
      </c>
      <c r="B1313" s="187" t="s">
        <v>2138</v>
      </c>
      <c r="C1313" s="187" t="s">
        <v>714</v>
      </c>
      <c r="D1313" s="187" t="s">
        <v>2139</v>
      </c>
      <c r="E1313" s="187" t="s">
        <v>341</v>
      </c>
      <c r="F1313" s="188"/>
      <c r="G1313" s="18"/>
      <c r="H1313" s="18"/>
      <c r="I1313" s="189"/>
      <c r="J1313" s="189">
        <v>25000</v>
      </c>
      <c r="K1313" s="189">
        <f t="shared" si="116"/>
        <v>25000</v>
      </c>
      <c r="L1313" s="190" t="s">
        <v>551</v>
      </c>
    </row>
    <row r="1314" spans="1:23" s="180" customFormat="1" ht="8.65" customHeight="1" x14ac:dyDescent="0.15">
      <c r="A1314" s="187" t="s">
        <v>664</v>
      </c>
      <c r="B1314" s="187" t="s">
        <v>2109</v>
      </c>
      <c r="C1314" s="187" t="s">
        <v>714</v>
      </c>
      <c r="D1314" s="187" t="s">
        <v>1228</v>
      </c>
      <c r="E1314" s="187" t="s">
        <v>341</v>
      </c>
      <c r="F1314" s="188"/>
      <c r="G1314" s="18"/>
      <c r="H1314" s="18">
        <v>477500</v>
      </c>
      <c r="I1314" s="189"/>
      <c r="J1314" s="189">
        <f>480000-H1314</f>
        <v>2500</v>
      </c>
      <c r="K1314" s="189">
        <f>+J1314-I1314</f>
        <v>2500</v>
      </c>
      <c r="L1314" s="190" t="s">
        <v>551</v>
      </c>
    </row>
    <row r="1315" spans="1:23" s="180" customFormat="1" ht="8.65" customHeight="1" x14ac:dyDescent="0.15">
      <c r="A1315" s="187" t="s">
        <v>664</v>
      </c>
      <c r="B1315" s="187" t="s">
        <v>1277</v>
      </c>
      <c r="C1315" s="187" t="s">
        <v>714</v>
      </c>
      <c r="D1315" s="187" t="s">
        <v>1278</v>
      </c>
      <c r="E1315" s="187" t="s">
        <v>341</v>
      </c>
      <c r="F1315" s="188"/>
      <c r="G1315" s="18"/>
      <c r="H1315" s="18"/>
      <c r="I1315" s="189"/>
      <c r="J1315" s="189">
        <v>32000</v>
      </c>
      <c r="K1315" s="189">
        <f t="shared" si="116"/>
        <v>32000</v>
      </c>
      <c r="L1315" s="190" t="s">
        <v>551</v>
      </c>
    </row>
    <row r="1316" spans="1:23" s="180" customFormat="1" ht="8.65" customHeight="1" x14ac:dyDescent="0.15">
      <c r="A1316" s="187" t="s">
        <v>664</v>
      </c>
      <c r="B1316" s="187" t="s">
        <v>2277</v>
      </c>
      <c r="C1316" s="187" t="s">
        <v>714</v>
      </c>
      <c r="D1316" s="187" t="s">
        <v>1280</v>
      </c>
      <c r="E1316" s="187" t="s">
        <v>341</v>
      </c>
      <c r="F1316" s="188"/>
      <c r="G1316" s="18">
        <v>180000</v>
      </c>
      <c r="H1316" s="18"/>
      <c r="I1316" s="189"/>
      <c r="J1316" s="189">
        <v>180000</v>
      </c>
      <c r="K1316" s="189">
        <f>+J1316-I1316</f>
        <v>180000</v>
      </c>
      <c r="L1316" s="190" t="s">
        <v>551</v>
      </c>
    </row>
    <row r="1317" spans="1:23" s="180" customFormat="1" ht="8.65" customHeight="1" x14ac:dyDescent="0.15">
      <c r="A1317" s="187" t="s">
        <v>664</v>
      </c>
      <c r="B1317" s="187" t="s">
        <v>899</v>
      </c>
      <c r="C1317" s="187" t="s">
        <v>714</v>
      </c>
      <c r="D1317" s="187" t="s">
        <v>900</v>
      </c>
      <c r="E1317" s="187" t="s">
        <v>341</v>
      </c>
      <c r="F1317" s="188"/>
      <c r="G1317" s="18"/>
      <c r="H1317" s="18"/>
      <c r="I1317" s="189"/>
      <c r="J1317" s="189">
        <v>50000</v>
      </c>
      <c r="K1317" s="189">
        <f t="shared" si="116"/>
        <v>50000</v>
      </c>
      <c r="L1317" s="190" t="s">
        <v>551</v>
      </c>
    </row>
    <row r="1318" spans="1:23" s="180" customFormat="1" ht="8.65" customHeight="1" x14ac:dyDescent="0.15">
      <c r="A1318" s="187" t="s">
        <v>664</v>
      </c>
      <c r="B1318" s="187" t="s">
        <v>2278</v>
      </c>
      <c r="C1318" s="187" t="s">
        <v>714</v>
      </c>
      <c r="D1318" s="187" t="s">
        <v>2279</v>
      </c>
      <c r="E1318" s="187" t="s">
        <v>341</v>
      </c>
      <c r="F1318" s="188"/>
      <c r="G1318" s="18">
        <v>180000</v>
      </c>
      <c r="H1318" s="18"/>
      <c r="I1318" s="189"/>
      <c r="J1318" s="189">
        <v>180000</v>
      </c>
      <c r="K1318" s="189">
        <f>+J1318-I1318</f>
        <v>180000</v>
      </c>
      <c r="L1318" s="190" t="s">
        <v>551</v>
      </c>
    </row>
    <row r="1319" spans="1:23" s="180" customFormat="1" ht="8.65" customHeight="1" x14ac:dyDescent="0.15">
      <c r="A1319" s="187" t="s">
        <v>664</v>
      </c>
      <c r="B1319" s="187" t="s">
        <v>2280</v>
      </c>
      <c r="C1319" s="187" t="s">
        <v>714</v>
      </c>
      <c r="D1319" s="187" t="s">
        <v>2281</v>
      </c>
      <c r="E1319" s="187" t="s">
        <v>341</v>
      </c>
      <c r="F1319" s="188"/>
      <c r="G1319" s="18"/>
      <c r="H1319" s="18">
        <v>9727</v>
      </c>
      <c r="I1319" s="189"/>
      <c r="J1319" s="189">
        <v>90000</v>
      </c>
      <c r="K1319" s="189">
        <f>+J1319-I1319</f>
        <v>90000</v>
      </c>
      <c r="L1319" s="190" t="s">
        <v>551</v>
      </c>
    </row>
    <row r="1320" spans="1:23" s="180" customFormat="1" ht="8.65" customHeight="1" x14ac:dyDescent="0.15">
      <c r="A1320" s="187" t="s">
        <v>664</v>
      </c>
      <c r="B1320" s="187" t="s">
        <v>1378</v>
      </c>
      <c r="C1320" s="187" t="s">
        <v>714</v>
      </c>
      <c r="D1320" s="187" t="s">
        <v>1379</v>
      </c>
      <c r="E1320" s="187" t="s">
        <v>341</v>
      </c>
      <c r="F1320" s="188"/>
      <c r="G1320" s="18"/>
      <c r="H1320" s="18"/>
      <c r="I1320" s="189"/>
      <c r="J1320" s="189">
        <v>60000</v>
      </c>
      <c r="K1320" s="189">
        <f t="shared" si="116"/>
        <v>60000</v>
      </c>
      <c r="L1320" s="190" t="s">
        <v>551</v>
      </c>
    </row>
    <row r="1321" spans="1:23" s="180" customFormat="1" ht="8.65" customHeight="1" x14ac:dyDescent="0.15">
      <c r="A1321" s="187" t="s">
        <v>664</v>
      </c>
      <c r="B1321" s="187" t="s">
        <v>722</v>
      </c>
      <c r="C1321" s="187" t="s">
        <v>720</v>
      </c>
      <c r="D1321" s="187" t="s">
        <v>723</v>
      </c>
      <c r="E1321" s="187" t="s">
        <v>341</v>
      </c>
      <c r="F1321" s="188"/>
      <c r="G1321" s="18"/>
      <c r="H1321" s="18">
        <v>19727</v>
      </c>
      <c r="I1321" s="189"/>
      <c r="J1321" s="189">
        <f>100000-H1321</f>
        <v>80273</v>
      </c>
      <c r="K1321" s="189">
        <f>+J1321-I1321</f>
        <v>80273</v>
      </c>
      <c r="L1321" s="190" t="s">
        <v>551</v>
      </c>
    </row>
    <row r="1322" spans="1:23" s="180" customFormat="1" ht="8.65" customHeight="1" x14ac:dyDescent="0.15">
      <c r="A1322" s="187" t="s">
        <v>664</v>
      </c>
      <c r="B1322" s="187" t="s">
        <v>1286</v>
      </c>
      <c r="C1322" s="187" t="s">
        <v>714</v>
      </c>
      <c r="D1322" s="187" t="s">
        <v>1287</v>
      </c>
      <c r="E1322" s="187" t="s">
        <v>341</v>
      </c>
      <c r="F1322" s="188"/>
      <c r="G1322" s="18"/>
      <c r="H1322" s="18">
        <v>490000</v>
      </c>
      <c r="I1322" s="189"/>
      <c r="J1322" s="189">
        <f>1300000-H1322</f>
        <v>810000</v>
      </c>
      <c r="K1322" s="189">
        <f>+J1322-I1322</f>
        <v>810000</v>
      </c>
      <c r="L1322" s="190" t="s">
        <v>551</v>
      </c>
    </row>
    <row r="1323" spans="1:23" s="180" customFormat="1" ht="8.65" customHeight="1" x14ac:dyDescent="0.15">
      <c r="A1323" s="187" t="s">
        <v>664</v>
      </c>
      <c r="B1323" s="187" t="s">
        <v>2282</v>
      </c>
      <c r="C1323" s="187" t="s">
        <v>714</v>
      </c>
      <c r="D1323" s="187" t="s">
        <v>1285</v>
      </c>
      <c r="E1323" s="187" t="s">
        <v>341</v>
      </c>
      <c r="F1323" s="188"/>
      <c r="G1323" s="18">
        <v>127500</v>
      </c>
      <c r="H1323" s="18"/>
      <c r="I1323" s="189"/>
      <c r="J1323" s="189">
        <v>127500</v>
      </c>
      <c r="K1323" s="189">
        <f>+J1323-I1323</f>
        <v>127500</v>
      </c>
      <c r="L1323" s="190" t="s">
        <v>551</v>
      </c>
    </row>
    <row r="1324" spans="1:23" s="180" customFormat="1" ht="8.65" customHeight="1" x14ac:dyDescent="0.15">
      <c r="A1324" s="187" t="s">
        <v>664</v>
      </c>
      <c r="B1324" s="187" t="s">
        <v>830</v>
      </c>
      <c r="C1324" s="187" t="s">
        <v>683</v>
      </c>
      <c r="D1324" s="187" t="s">
        <v>831</v>
      </c>
      <c r="E1324" s="187" t="s">
        <v>341</v>
      </c>
      <c r="F1324" s="188"/>
      <c r="G1324" s="18"/>
      <c r="H1324" s="18">
        <v>9500</v>
      </c>
      <c r="I1324" s="189"/>
      <c r="J1324" s="189">
        <f>9500-H1324</f>
        <v>0</v>
      </c>
      <c r="K1324" s="189">
        <f>+J1324-I1324</f>
        <v>0</v>
      </c>
      <c r="L1324" s="190" t="s">
        <v>551</v>
      </c>
    </row>
    <row r="1325" spans="1:23" s="180" customFormat="1" ht="10.15" customHeight="1" x14ac:dyDescent="0.15">
      <c r="A1325" s="270" t="s">
        <v>350</v>
      </c>
      <c r="B1325" s="270"/>
      <c r="C1325" s="270"/>
      <c r="D1325" s="270"/>
      <c r="E1325" s="270"/>
      <c r="F1325" s="270"/>
      <c r="G1325" s="191"/>
      <c r="H1325" s="191"/>
      <c r="I1325" s="192">
        <f>SUM(I1244:I1324)</f>
        <v>112131.93</v>
      </c>
      <c r="J1325" s="192">
        <f>SUM(J1244:J1324)</f>
        <v>13670462.529999999</v>
      </c>
      <c r="K1325" s="192">
        <f>SUM(K1244:K1324)</f>
        <v>13558330.6</v>
      </c>
      <c r="L1325" s="191"/>
    </row>
    <row r="1326" spans="1:23" s="180" customFormat="1" ht="9.6" customHeight="1" x14ac:dyDescent="0.2">
      <c r="A1326" s="197"/>
      <c r="B1326" s="197"/>
      <c r="C1326" s="197"/>
      <c r="D1326" s="197"/>
      <c r="E1326" s="197"/>
      <c r="F1326" s="197"/>
      <c r="G1326" s="197"/>
      <c r="H1326" s="198"/>
      <c r="I1326" s="199"/>
      <c r="J1326" s="199"/>
      <c r="K1326" s="199"/>
      <c r="L1326" s="197"/>
      <c r="M1326" s="197"/>
      <c r="N1326" s="197"/>
      <c r="O1326" s="197"/>
      <c r="P1326" s="197"/>
      <c r="Q1326" s="197"/>
      <c r="R1326" s="197"/>
      <c r="S1326" s="197"/>
      <c r="T1326" s="197"/>
      <c r="U1326" s="197"/>
      <c r="V1326" s="197"/>
      <c r="W1326" s="197"/>
    </row>
    <row r="1327" spans="1:23" s="180" customFormat="1" ht="8.65" customHeight="1" x14ac:dyDescent="0.15">
      <c r="A1327" s="187" t="s">
        <v>664</v>
      </c>
      <c r="B1327" s="187" t="s">
        <v>665</v>
      </c>
      <c r="C1327" s="187" t="s">
        <v>666</v>
      </c>
      <c r="D1327" s="187" t="s">
        <v>667</v>
      </c>
      <c r="E1327" s="187" t="s">
        <v>352</v>
      </c>
      <c r="F1327" s="187" t="s">
        <v>353</v>
      </c>
      <c r="G1327" s="18"/>
      <c r="H1327" s="18">
        <v>55464</v>
      </c>
      <c r="I1327" s="189"/>
      <c r="J1327" s="189">
        <f>55464-H$1327</f>
        <v>0</v>
      </c>
      <c r="K1327" s="189">
        <f>+J1327-I$1327</f>
        <v>0</v>
      </c>
      <c r="L1327" s="190" t="s">
        <v>551</v>
      </c>
    </row>
    <row r="1328" spans="1:23" s="180" customFormat="1" ht="8.65" customHeight="1" x14ac:dyDescent="0.15">
      <c r="A1328" s="187" t="s">
        <v>664</v>
      </c>
      <c r="B1328" s="187" t="s">
        <v>1606</v>
      </c>
      <c r="C1328" s="187" t="s">
        <v>673</v>
      </c>
      <c r="D1328" s="187" t="s">
        <v>2283</v>
      </c>
      <c r="E1328" s="187" t="s">
        <v>352</v>
      </c>
      <c r="F1328" s="188"/>
      <c r="G1328" s="18"/>
      <c r="H1328" s="18">
        <v>6000</v>
      </c>
      <c r="I1328" s="189"/>
      <c r="J1328" s="189">
        <f t="shared" ref="J1328:J1334" si="117">55464-H$1327</f>
        <v>0</v>
      </c>
      <c r="K1328" s="189">
        <f t="shared" ref="K1328:K1334" si="118">+J1328-I$1327</f>
        <v>0</v>
      </c>
      <c r="L1328" s="190" t="s">
        <v>551</v>
      </c>
    </row>
    <row r="1329" spans="1:19" s="180" customFormat="1" ht="8.65" customHeight="1" x14ac:dyDescent="0.15">
      <c r="A1329" s="187" t="s">
        <v>664</v>
      </c>
      <c r="B1329" s="187" t="s">
        <v>2284</v>
      </c>
      <c r="C1329" s="187" t="s">
        <v>707</v>
      </c>
      <c r="D1329" s="187" t="s">
        <v>2285</v>
      </c>
      <c r="E1329" s="187" t="s">
        <v>352</v>
      </c>
      <c r="F1329" s="188"/>
      <c r="G1329" s="18"/>
      <c r="H1329" s="18">
        <v>30000</v>
      </c>
      <c r="I1329" s="189"/>
      <c r="J1329" s="189">
        <f t="shared" si="117"/>
        <v>0</v>
      </c>
      <c r="K1329" s="189">
        <f t="shared" si="118"/>
        <v>0</v>
      </c>
      <c r="L1329" s="190" t="s">
        <v>551</v>
      </c>
    </row>
    <row r="1330" spans="1:19" s="180" customFormat="1" ht="8.65" customHeight="1" x14ac:dyDescent="0.15">
      <c r="A1330" s="187" t="s">
        <v>664</v>
      </c>
      <c r="B1330" s="187" t="s">
        <v>2286</v>
      </c>
      <c r="C1330" s="187" t="s">
        <v>673</v>
      </c>
      <c r="D1330" s="187" t="s">
        <v>2287</v>
      </c>
      <c r="E1330" s="187" t="s">
        <v>352</v>
      </c>
      <c r="F1330" s="188"/>
      <c r="G1330" s="18"/>
      <c r="H1330" s="18">
        <v>14800</v>
      </c>
      <c r="I1330" s="189"/>
      <c r="J1330" s="189">
        <f t="shared" si="117"/>
        <v>0</v>
      </c>
      <c r="K1330" s="189">
        <f t="shared" si="118"/>
        <v>0</v>
      </c>
      <c r="L1330" s="190" t="s">
        <v>551</v>
      </c>
    </row>
    <row r="1331" spans="1:19" s="180" customFormat="1" ht="8.65" customHeight="1" x14ac:dyDescent="0.15">
      <c r="A1331" s="187" t="s">
        <v>664</v>
      </c>
      <c r="B1331" s="187" t="s">
        <v>2288</v>
      </c>
      <c r="C1331" s="187" t="s">
        <v>683</v>
      </c>
      <c r="D1331" s="187" t="s">
        <v>2289</v>
      </c>
      <c r="E1331" s="187" t="s">
        <v>352</v>
      </c>
      <c r="F1331" s="188"/>
      <c r="G1331" s="18"/>
      <c r="H1331" s="18">
        <v>12000</v>
      </c>
      <c r="I1331" s="189"/>
      <c r="J1331" s="189">
        <f t="shared" si="117"/>
        <v>0</v>
      </c>
      <c r="K1331" s="189">
        <f t="shared" si="118"/>
        <v>0</v>
      </c>
      <c r="L1331" s="190" t="s">
        <v>551</v>
      </c>
    </row>
    <row r="1332" spans="1:19" s="180" customFormat="1" ht="8.65" customHeight="1" x14ac:dyDescent="0.15">
      <c r="A1332" s="187" t="s">
        <v>664</v>
      </c>
      <c r="B1332" s="187" t="s">
        <v>2290</v>
      </c>
      <c r="C1332" s="187" t="s">
        <v>683</v>
      </c>
      <c r="D1332" s="187" t="s">
        <v>2291</v>
      </c>
      <c r="E1332" s="187" t="s">
        <v>352</v>
      </c>
      <c r="F1332" s="188"/>
      <c r="G1332" s="18"/>
      <c r="H1332" s="18">
        <v>15000</v>
      </c>
      <c r="I1332" s="189"/>
      <c r="J1332" s="189">
        <f t="shared" si="117"/>
        <v>0</v>
      </c>
      <c r="K1332" s="189">
        <f t="shared" si="118"/>
        <v>0</v>
      </c>
      <c r="L1332" s="190" t="s">
        <v>551</v>
      </c>
    </row>
    <row r="1333" spans="1:19" s="180" customFormat="1" ht="8.65" customHeight="1" x14ac:dyDescent="0.15">
      <c r="A1333" s="187" t="s">
        <v>664</v>
      </c>
      <c r="B1333" s="187" t="s">
        <v>742</v>
      </c>
      <c r="C1333" s="187" t="s">
        <v>683</v>
      </c>
      <c r="D1333" s="187" t="s">
        <v>743</v>
      </c>
      <c r="E1333" s="187" t="s">
        <v>352</v>
      </c>
      <c r="F1333" s="188"/>
      <c r="G1333" s="18"/>
      <c r="H1333" s="18">
        <v>2400</v>
      </c>
      <c r="I1333" s="189"/>
      <c r="J1333" s="189">
        <f t="shared" si="117"/>
        <v>0</v>
      </c>
      <c r="K1333" s="189">
        <f t="shared" si="118"/>
        <v>0</v>
      </c>
      <c r="L1333" s="190" t="s">
        <v>551</v>
      </c>
    </row>
    <row r="1334" spans="1:19" s="180" customFormat="1" ht="8.65" customHeight="1" x14ac:dyDescent="0.15">
      <c r="A1334" s="187" t="s">
        <v>664</v>
      </c>
      <c r="B1334" s="187" t="s">
        <v>744</v>
      </c>
      <c r="C1334" s="187" t="s">
        <v>683</v>
      </c>
      <c r="D1334" s="187" t="s">
        <v>745</v>
      </c>
      <c r="E1334" s="187" t="s">
        <v>352</v>
      </c>
      <c r="F1334" s="188"/>
      <c r="G1334" s="18"/>
      <c r="H1334" s="18">
        <v>2400</v>
      </c>
      <c r="I1334" s="189"/>
      <c r="J1334" s="189">
        <f t="shared" si="117"/>
        <v>0</v>
      </c>
      <c r="K1334" s="189">
        <f t="shared" si="118"/>
        <v>0</v>
      </c>
      <c r="L1334" s="190" t="s">
        <v>551</v>
      </c>
    </row>
    <row r="1335" spans="1:19" s="180" customFormat="1" ht="8.65" customHeight="1" x14ac:dyDescent="0.15">
      <c r="A1335" s="187" t="s">
        <v>664</v>
      </c>
      <c r="B1335" s="187" t="s">
        <v>929</v>
      </c>
      <c r="C1335" s="187" t="s">
        <v>673</v>
      </c>
      <c r="D1335" s="187" t="s">
        <v>930</v>
      </c>
      <c r="E1335" s="187" t="s">
        <v>352</v>
      </c>
      <c r="F1335" s="188"/>
      <c r="G1335" s="18"/>
      <c r="H1335" s="18"/>
      <c r="I1335" s="189"/>
      <c r="J1335" s="189">
        <v>11900</v>
      </c>
      <c r="K1335" s="189">
        <f>+J1335-I1335</f>
        <v>11900</v>
      </c>
      <c r="L1335" s="190" t="s">
        <v>551</v>
      </c>
    </row>
    <row r="1336" spans="1:19" s="180" customFormat="1" ht="8.65" customHeight="1" x14ac:dyDescent="0.15">
      <c r="A1336" s="187" t="s">
        <v>664</v>
      </c>
      <c r="B1336" s="187" t="s">
        <v>830</v>
      </c>
      <c r="C1336" s="187" t="s">
        <v>683</v>
      </c>
      <c r="D1336" s="187" t="s">
        <v>831</v>
      </c>
      <c r="E1336" s="187" t="s">
        <v>352</v>
      </c>
      <c r="F1336" s="188"/>
      <c r="G1336" s="18"/>
      <c r="H1336" s="18">
        <v>1968</v>
      </c>
      <c r="I1336" s="189"/>
      <c r="J1336" s="189">
        <f>1968-H1336</f>
        <v>0</v>
      </c>
      <c r="K1336" s="189">
        <f>+J133-I1336</f>
        <v>0</v>
      </c>
      <c r="L1336" s="190" t="s">
        <v>551</v>
      </c>
    </row>
    <row r="1337" spans="1:19" s="180" customFormat="1" ht="10.15" customHeight="1" x14ac:dyDescent="0.15">
      <c r="A1337" s="269" t="s">
        <v>354</v>
      </c>
      <c r="B1337" s="269"/>
      <c r="C1337" s="269"/>
      <c r="D1337" s="269"/>
      <c r="E1337" s="269"/>
      <c r="F1337" s="269"/>
      <c r="G1337" s="222"/>
      <c r="H1337" s="222"/>
      <c r="I1337" s="223">
        <f>SUM(I1327:I1336)</f>
        <v>0</v>
      </c>
      <c r="J1337" s="223">
        <f>SUM(J1327:J1336)</f>
        <v>11900</v>
      </c>
      <c r="K1337" s="223">
        <f>SUM(K1327:K1336)</f>
        <v>11900</v>
      </c>
      <c r="L1337" s="240"/>
    </row>
    <row r="1338" spans="1:19" s="180" customFormat="1" ht="2.4500000000000002" customHeight="1" x14ac:dyDescent="0.2">
      <c r="A1338" s="197"/>
      <c r="B1338" s="197"/>
      <c r="C1338" s="197"/>
      <c r="D1338" s="197"/>
      <c r="E1338" s="197"/>
      <c r="F1338" s="197"/>
      <c r="G1338" s="197"/>
      <c r="H1338" s="198"/>
      <c r="I1338" s="199"/>
      <c r="J1338" s="199"/>
      <c r="K1338" s="199"/>
      <c r="L1338" s="197"/>
      <c r="M1338" s="197"/>
      <c r="N1338" s="197"/>
      <c r="O1338" s="197"/>
      <c r="P1338" s="197"/>
      <c r="Q1338" s="197"/>
      <c r="R1338" s="197"/>
      <c r="S1338" s="197"/>
    </row>
    <row r="1339" spans="1:19" s="180" customFormat="1" ht="8.65" customHeight="1" x14ac:dyDescent="0.15">
      <c r="A1339" s="187" t="s">
        <v>664</v>
      </c>
      <c r="B1339" s="187" t="s">
        <v>665</v>
      </c>
      <c r="C1339" s="187" t="s">
        <v>666</v>
      </c>
      <c r="D1339" s="187" t="s">
        <v>667</v>
      </c>
      <c r="E1339" s="187" t="s">
        <v>356</v>
      </c>
      <c r="F1339" s="187" t="s">
        <v>357</v>
      </c>
      <c r="G1339" s="18"/>
      <c r="H1339" s="18">
        <v>150000</v>
      </c>
      <c r="I1339" s="189"/>
      <c r="J1339" s="189">
        <f>150000-H$1339</f>
        <v>0</v>
      </c>
      <c r="K1339" s="189">
        <f>+J1339-I$1339</f>
        <v>0</v>
      </c>
      <c r="L1339" s="190" t="s">
        <v>551</v>
      </c>
    </row>
    <row r="1340" spans="1:19" s="180" customFormat="1" ht="8.65" customHeight="1" x14ac:dyDescent="0.15">
      <c r="A1340" s="187" t="s">
        <v>664</v>
      </c>
      <c r="B1340" s="187" t="s">
        <v>2157</v>
      </c>
      <c r="C1340" s="187" t="s">
        <v>683</v>
      </c>
      <c r="D1340" s="187" t="s">
        <v>2158</v>
      </c>
      <c r="E1340" s="187" t="s">
        <v>356</v>
      </c>
      <c r="F1340" s="188"/>
      <c r="G1340" s="18"/>
      <c r="H1340" s="18">
        <v>20000</v>
      </c>
      <c r="I1340" s="189"/>
      <c r="J1340" s="189">
        <f t="shared" ref="J1340:J1363" si="119">150000-H$1339</f>
        <v>0</v>
      </c>
      <c r="K1340" s="189">
        <f t="shared" ref="K1340:K1363" si="120">+J1340-I$1339</f>
        <v>0</v>
      </c>
      <c r="L1340" s="190" t="s">
        <v>551</v>
      </c>
    </row>
    <row r="1341" spans="1:19" s="180" customFormat="1" ht="8.65" customHeight="1" x14ac:dyDescent="0.15">
      <c r="A1341" s="187" t="s">
        <v>664</v>
      </c>
      <c r="B1341" s="187" t="s">
        <v>685</v>
      </c>
      <c r="C1341" s="187" t="s">
        <v>683</v>
      </c>
      <c r="D1341" s="187" t="s">
        <v>686</v>
      </c>
      <c r="E1341" s="187" t="s">
        <v>356</v>
      </c>
      <c r="F1341" s="188"/>
      <c r="G1341" s="18"/>
      <c r="H1341" s="18">
        <v>8000</v>
      </c>
      <c r="I1341" s="189"/>
      <c r="J1341" s="189">
        <f t="shared" si="119"/>
        <v>0</v>
      </c>
      <c r="K1341" s="189">
        <f t="shared" si="120"/>
        <v>0</v>
      </c>
      <c r="L1341" s="190" t="s">
        <v>551</v>
      </c>
    </row>
    <row r="1342" spans="1:19" s="180" customFormat="1" ht="8.65" customHeight="1" x14ac:dyDescent="0.15">
      <c r="A1342" s="187" t="s">
        <v>664</v>
      </c>
      <c r="B1342" s="187" t="s">
        <v>2292</v>
      </c>
      <c r="C1342" s="187" t="s">
        <v>683</v>
      </c>
      <c r="D1342" s="187" t="s">
        <v>2293</v>
      </c>
      <c r="E1342" s="187" t="s">
        <v>356</v>
      </c>
      <c r="F1342" s="188"/>
      <c r="G1342" s="18"/>
      <c r="H1342" s="18">
        <v>3000</v>
      </c>
      <c r="I1342" s="189"/>
      <c r="J1342" s="189">
        <f t="shared" si="119"/>
        <v>0</v>
      </c>
      <c r="K1342" s="189">
        <f t="shared" si="120"/>
        <v>0</v>
      </c>
      <c r="L1342" s="190" t="s">
        <v>551</v>
      </c>
    </row>
    <row r="1343" spans="1:19" s="180" customFormat="1" ht="8.65" customHeight="1" x14ac:dyDescent="0.15">
      <c r="A1343" s="187" t="s">
        <v>664</v>
      </c>
      <c r="B1343" s="187" t="s">
        <v>689</v>
      </c>
      <c r="C1343" s="187" t="s">
        <v>683</v>
      </c>
      <c r="D1343" s="187" t="s">
        <v>690</v>
      </c>
      <c r="E1343" s="187" t="s">
        <v>356</v>
      </c>
      <c r="F1343" s="188"/>
      <c r="G1343" s="18"/>
      <c r="H1343" s="18">
        <v>24900</v>
      </c>
      <c r="I1343" s="189"/>
      <c r="J1343" s="189">
        <f t="shared" si="119"/>
        <v>0</v>
      </c>
      <c r="K1343" s="189">
        <f t="shared" si="120"/>
        <v>0</v>
      </c>
      <c r="L1343" s="190" t="s">
        <v>551</v>
      </c>
    </row>
    <row r="1344" spans="1:19" s="180" customFormat="1" ht="8.65" customHeight="1" x14ac:dyDescent="0.15">
      <c r="A1344" s="187" t="s">
        <v>664</v>
      </c>
      <c r="B1344" s="187" t="s">
        <v>738</v>
      </c>
      <c r="C1344" s="187" t="s">
        <v>683</v>
      </c>
      <c r="D1344" s="187" t="s">
        <v>739</v>
      </c>
      <c r="E1344" s="187" t="s">
        <v>356</v>
      </c>
      <c r="F1344" s="188"/>
      <c r="G1344" s="18"/>
      <c r="H1344" s="18">
        <v>2016</v>
      </c>
      <c r="I1344" s="189"/>
      <c r="J1344" s="189">
        <f t="shared" si="119"/>
        <v>0</v>
      </c>
      <c r="K1344" s="189">
        <f t="shared" si="120"/>
        <v>0</v>
      </c>
      <c r="L1344" s="190" t="s">
        <v>551</v>
      </c>
    </row>
    <row r="1345" spans="1:12" s="180" customFormat="1" ht="8.65" customHeight="1" x14ac:dyDescent="0.15">
      <c r="A1345" s="187" t="s">
        <v>664</v>
      </c>
      <c r="B1345" s="187" t="s">
        <v>977</v>
      </c>
      <c r="C1345" s="187" t="s">
        <v>683</v>
      </c>
      <c r="D1345" s="187" t="s">
        <v>978</v>
      </c>
      <c r="E1345" s="187" t="s">
        <v>356</v>
      </c>
      <c r="F1345" s="188"/>
      <c r="G1345" s="18"/>
      <c r="H1345" s="18">
        <v>20000</v>
      </c>
      <c r="I1345" s="189"/>
      <c r="J1345" s="189">
        <f t="shared" si="119"/>
        <v>0</v>
      </c>
      <c r="K1345" s="189">
        <f t="shared" si="120"/>
        <v>0</v>
      </c>
      <c r="L1345" s="190" t="s">
        <v>551</v>
      </c>
    </row>
    <row r="1346" spans="1:12" s="180" customFormat="1" ht="8.65" customHeight="1" x14ac:dyDescent="0.15">
      <c r="A1346" s="187" t="s">
        <v>664</v>
      </c>
      <c r="B1346" s="187" t="s">
        <v>844</v>
      </c>
      <c r="C1346" s="187" t="s">
        <v>683</v>
      </c>
      <c r="D1346" s="187" t="s">
        <v>845</v>
      </c>
      <c r="E1346" s="187" t="s">
        <v>356</v>
      </c>
      <c r="F1346" s="188"/>
      <c r="G1346" s="18"/>
      <c r="H1346" s="18">
        <v>34000</v>
      </c>
      <c r="I1346" s="189"/>
      <c r="J1346" s="189">
        <f t="shared" si="119"/>
        <v>0</v>
      </c>
      <c r="K1346" s="189">
        <f t="shared" si="120"/>
        <v>0</v>
      </c>
      <c r="L1346" s="190" t="s">
        <v>551</v>
      </c>
    </row>
    <row r="1347" spans="1:12" s="180" customFormat="1" ht="8.65" customHeight="1" x14ac:dyDescent="0.15">
      <c r="A1347" s="187" t="s">
        <v>664</v>
      </c>
      <c r="B1347" s="187" t="s">
        <v>846</v>
      </c>
      <c r="C1347" s="187" t="s">
        <v>683</v>
      </c>
      <c r="D1347" s="187" t="s">
        <v>847</v>
      </c>
      <c r="E1347" s="187" t="s">
        <v>356</v>
      </c>
      <c r="F1347" s="188"/>
      <c r="G1347" s="18"/>
      <c r="H1347" s="18">
        <v>34000</v>
      </c>
      <c r="I1347" s="189"/>
      <c r="J1347" s="189">
        <f t="shared" si="119"/>
        <v>0</v>
      </c>
      <c r="K1347" s="189">
        <f t="shared" si="120"/>
        <v>0</v>
      </c>
      <c r="L1347" s="190" t="s">
        <v>551</v>
      </c>
    </row>
    <row r="1348" spans="1:12" s="180" customFormat="1" ht="8.65" customHeight="1" x14ac:dyDescent="0.15">
      <c r="A1348" s="187" t="s">
        <v>664</v>
      </c>
      <c r="B1348" s="187" t="s">
        <v>799</v>
      </c>
      <c r="C1348" s="187" t="s">
        <v>666</v>
      </c>
      <c r="D1348" s="187" t="s">
        <v>800</v>
      </c>
      <c r="E1348" s="187" t="s">
        <v>356</v>
      </c>
      <c r="F1348" s="188"/>
      <c r="G1348" s="18"/>
      <c r="H1348" s="18">
        <v>32000</v>
      </c>
      <c r="I1348" s="189"/>
      <c r="J1348" s="189">
        <f t="shared" si="119"/>
        <v>0</v>
      </c>
      <c r="K1348" s="189">
        <f t="shared" si="120"/>
        <v>0</v>
      </c>
      <c r="L1348" s="190" t="s">
        <v>551</v>
      </c>
    </row>
    <row r="1349" spans="1:12" s="180" customFormat="1" ht="8.65" customHeight="1" x14ac:dyDescent="0.15">
      <c r="A1349" s="187" t="s">
        <v>664</v>
      </c>
      <c r="B1349" s="187" t="s">
        <v>746</v>
      </c>
      <c r="C1349" s="187" t="s">
        <v>683</v>
      </c>
      <c r="D1349" s="187" t="s">
        <v>2294</v>
      </c>
      <c r="E1349" s="187" t="s">
        <v>356</v>
      </c>
      <c r="F1349" s="188"/>
      <c r="G1349" s="18"/>
      <c r="H1349" s="18">
        <v>3000</v>
      </c>
      <c r="I1349" s="189"/>
      <c r="J1349" s="189">
        <f t="shared" si="119"/>
        <v>0</v>
      </c>
      <c r="K1349" s="189">
        <f t="shared" si="120"/>
        <v>0</v>
      </c>
      <c r="L1349" s="190" t="s">
        <v>551</v>
      </c>
    </row>
    <row r="1350" spans="1:12" s="180" customFormat="1" ht="8.65" customHeight="1" x14ac:dyDescent="0.15">
      <c r="A1350" s="187" t="s">
        <v>664</v>
      </c>
      <c r="B1350" s="187" t="s">
        <v>1325</v>
      </c>
      <c r="C1350" s="187" t="s">
        <v>683</v>
      </c>
      <c r="D1350" s="187" t="s">
        <v>2295</v>
      </c>
      <c r="E1350" s="187" t="s">
        <v>356</v>
      </c>
      <c r="F1350" s="188"/>
      <c r="G1350" s="18"/>
      <c r="H1350" s="18">
        <v>1769</v>
      </c>
      <c r="I1350" s="189"/>
      <c r="J1350" s="189">
        <f t="shared" si="119"/>
        <v>0</v>
      </c>
      <c r="K1350" s="189">
        <f t="shared" si="120"/>
        <v>0</v>
      </c>
      <c r="L1350" s="190" t="s">
        <v>551</v>
      </c>
    </row>
    <row r="1351" spans="1:12" s="180" customFormat="1" ht="8.65" customHeight="1" x14ac:dyDescent="0.15">
      <c r="A1351" s="187" t="s">
        <v>664</v>
      </c>
      <c r="B1351" s="187" t="s">
        <v>991</v>
      </c>
      <c r="C1351" s="187" t="s">
        <v>683</v>
      </c>
      <c r="D1351" s="187" t="s">
        <v>992</v>
      </c>
      <c r="E1351" s="187" t="s">
        <v>356</v>
      </c>
      <c r="F1351" s="188"/>
      <c r="G1351" s="18"/>
      <c r="H1351" s="18">
        <v>1769</v>
      </c>
      <c r="I1351" s="189"/>
      <c r="J1351" s="189">
        <f t="shared" si="119"/>
        <v>0</v>
      </c>
      <c r="K1351" s="189">
        <f t="shared" si="120"/>
        <v>0</v>
      </c>
      <c r="L1351" s="190" t="s">
        <v>551</v>
      </c>
    </row>
    <row r="1352" spans="1:12" s="180" customFormat="1" ht="8.65" customHeight="1" x14ac:dyDescent="0.15">
      <c r="A1352" s="187" t="s">
        <v>664</v>
      </c>
      <c r="B1352" s="187" t="s">
        <v>854</v>
      </c>
      <c r="C1352" s="187" t="s">
        <v>683</v>
      </c>
      <c r="D1352" s="187" t="s">
        <v>855</v>
      </c>
      <c r="E1352" s="187" t="s">
        <v>356</v>
      </c>
      <c r="F1352" s="188"/>
      <c r="G1352" s="18"/>
      <c r="H1352" s="18">
        <v>3750</v>
      </c>
      <c r="I1352" s="189"/>
      <c r="J1352" s="189">
        <f t="shared" si="119"/>
        <v>0</v>
      </c>
      <c r="K1352" s="189">
        <f t="shared" si="120"/>
        <v>0</v>
      </c>
      <c r="L1352" s="190" t="s">
        <v>551</v>
      </c>
    </row>
    <row r="1353" spans="1:12" s="180" customFormat="1" ht="8.65" customHeight="1" x14ac:dyDescent="0.15">
      <c r="A1353" s="187" t="s">
        <v>664</v>
      </c>
      <c r="B1353" s="187" t="s">
        <v>748</v>
      </c>
      <c r="C1353" s="187" t="s">
        <v>683</v>
      </c>
      <c r="D1353" s="187" t="s">
        <v>749</v>
      </c>
      <c r="E1353" s="187" t="s">
        <v>356</v>
      </c>
      <c r="F1353" s="188"/>
      <c r="G1353" s="18"/>
      <c r="H1353" s="18">
        <v>4000</v>
      </c>
      <c r="I1353" s="189"/>
      <c r="J1353" s="189">
        <f t="shared" si="119"/>
        <v>0</v>
      </c>
      <c r="K1353" s="189">
        <f t="shared" si="120"/>
        <v>0</v>
      </c>
      <c r="L1353" s="190" t="s">
        <v>551</v>
      </c>
    </row>
    <row r="1354" spans="1:12" s="180" customFormat="1" ht="8.65" customHeight="1" x14ac:dyDescent="0.15">
      <c r="A1354" s="187" t="s">
        <v>664</v>
      </c>
      <c r="B1354" s="187" t="s">
        <v>2178</v>
      </c>
      <c r="C1354" s="187" t="s">
        <v>683</v>
      </c>
      <c r="D1354" s="187" t="s">
        <v>2296</v>
      </c>
      <c r="E1354" s="187" t="s">
        <v>356</v>
      </c>
      <c r="F1354" s="188"/>
      <c r="G1354" s="18"/>
      <c r="H1354" s="18">
        <v>1000</v>
      </c>
      <c r="I1354" s="189"/>
      <c r="J1354" s="189">
        <f t="shared" si="119"/>
        <v>0</v>
      </c>
      <c r="K1354" s="189">
        <f t="shared" si="120"/>
        <v>0</v>
      </c>
      <c r="L1354" s="190" t="s">
        <v>551</v>
      </c>
    </row>
    <row r="1355" spans="1:12" s="180" customFormat="1" ht="8.65" customHeight="1" x14ac:dyDescent="0.15">
      <c r="A1355" s="187" t="s">
        <v>664</v>
      </c>
      <c r="B1355" s="187" t="s">
        <v>813</v>
      </c>
      <c r="C1355" s="187" t="s">
        <v>666</v>
      </c>
      <c r="D1355" s="187" t="s">
        <v>2297</v>
      </c>
      <c r="E1355" s="187" t="s">
        <v>356</v>
      </c>
      <c r="F1355" s="188"/>
      <c r="G1355" s="18"/>
      <c r="H1355" s="18">
        <v>10000</v>
      </c>
      <c r="I1355" s="189"/>
      <c r="J1355" s="189">
        <f t="shared" si="119"/>
        <v>0</v>
      </c>
      <c r="K1355" s="189">
        <f t="shared" si="120"/>
        <v>0</v>
      </c>
      <c r="L1355" s="190" t="s">
        <v>551</v>
      </c>
    </row>
    <row r="1356" spans="1:12" s="180" customFormat="1" ht="8.65" customHeight="1" x14ac:dyDescent="0.15">
      <c r="A1356" s="187" t="s">
        <v>664</v>
      </c>
      <c r="B1356" s="187" t="s">
        <v>817</v>
      </c>
      <c r="C1356" s="187" t="s">
        <v>683</v>
      </c>
      <c r="D1356" s="187" t="s">
        <v>2298</v>
      </c>
      <c r="E1356" s="187" t="s">
        <v>356</v>
      </c>
      <c r="F1356" s="188"/>
      <c r="G1356" s="18"/>
      <c r="H1356" s="18">
        <v>3000</v>
      </c>
      <c r="I1356" s="189"/>
      <c r="J1356" s="189">
        <f t="shared" si="119"/>
        <v>0</v>
      </c>
      <c r="K1356" s="189">
        <f t="shared" si="120"/>
        <v>0</v>
      </c>
      <c r="L1356" s="190" t="s">
        <v>551</v>
      </c>
    </row>
    <row r="1357" spans="1:12" s="180" customFormat="1" ht="8.65" customHeight="1" x14ac:dyDescent="0.15">
      <c r="A1357" s="187" t="s">
        <v>664</v>
      </c>
      <c r="B1357" s="187" t="s">
        <v>1127</v>
      </c>
      <c r="C1357" s="187" t="s">
        <v>666</v>
      </c>
      <c r="D1357" s="187" t="s">
        <v>1128</v>
      </c>
      <c r="E1357" s="187" t="s">
        <v>356</v>
      </c>
      <c r="F1357" s="188"/>
      <c r="G1357" s="18"/>
      <c r="H1357" s="18">
        <v>37500</v>
      </c>
      <c r="I1357" s="189"/>
      <c r="J1357" s="189">
        <f t="shared" si="119"/>
        <v>0</v>
      </c>
      <c r="K1357" s="189">
        <f t="shared" si="120"/>
        <v>0</v>
      </c>
      <c r="L1357" s="190" t="s">
        <v>551</v>
      </c>
    </row>
    <row r="1358" spans="1:12" s="180" customFormat="1" ht="8.65" customHeight="1" x14ac:dyDescent="0.15">
      <c r="A1358" s="187" t="s">
        <v>664</v>
      </c>
      <c r="B1358" s="187" t="s">
        <v>993</v>
      </c>
      <c r="C1358" s="187" t="s">
        <v>666</v>
      </c>
      <c r="D1358" s="187" t="s">
        <v>994</v>
      </c>
      <c r="E1358" s="187" t="s">
        <v>356</v>
      </c>
      <c r="F1358" s="188"/>
      <c r="G1358" s="18"/>
      <c r="H1358" s="18">
        <v>9000</v>
      </c>
      <c r="I1358" s="189"/>
      <c r="J1358" s="189">
        <f t="shared" si="119"/>
        <v>0</v>
      </c>
      <c r="K1358" s="189">
        <f t="shared" si="120"/>
        <v>0</v>
      </c>
      <c r="L1358" s="190" t="s">
        <v>551</v>
      </c>
    </row>
    <row r="1359" spans="1:12" s="180" customFormat="1" ht="8.65" customHeight="1" x14ac:dyDescent="0.15">
      <c r="A1359" s="187" t="s">
        <v>664</v>
      </c>
      <c r="B1359" s="187" t="s">
        <v>964</v>
      </c>
      <c r="C1359" s="187" t="s">
        <v>683</v>
      </c>
      <c r="D1359" s="187" t="s">
        <v>999</v>
      </c>
      <c r="E1359" s="187" t="s">
        <v>356</v>
      </c>
      <c r="F1359" s="188"/>
      <c r="G1359" s="18"/>
      <c r="H1359" s="18">
        <v>2000</v>
      </c>
      <c r="I1359" s="189"/>
      <c r="J1359" s="189">
        <f t="shared" si="119"/>
        <v>0</v>
      </c>
      <c r="K1359" s="189">
        <f t="shared" si="120"/>
        <v>0</v>
      </c>
      <c r="L1359" s="190" t="s">
        <v>551</v>
      </c>
    </row>
    <row r="1360" spans="1:12" s="180" customFormat="1" ht="8.65" customHeight="1" x14ac:dyDescent="0.15">
      <c r="A1360" s="187" t="s">
        <v>664</v>
      </c>
      <c r="B1360" s="187" t="s">
        <v>2299</v>
      </c>
      <c r="C1360" s="187" t="s">
        <v>683</v>
      </c>
      <c r="D1360" s="187" t="s">
        <v>2300</v>
      </c>
      <c r="E1360" s="187" t="s">
        <v>356</v>
      </c>
      <c r="F1360" s="188"/>
      <c r="G1360" s="18"/>
      <c r="H1360" s="18">
        <v>2250</v>
      </c>
      <c r="I1360" s="189"/>
      <c r="J1360" s="189">
        <f t="shared" si="119"/>
        <v>0</v>
      </c>
      <c r="K1360" s="189">
        <f t="shared" si="120"/>
        <v>0</v>
      </c>
      <c r="L1360" s="190" t="s">
        <v>551</v>
      </c>
    </row>
    <row r="1361" spans="1:21" s="180" customFormat="1" ht="8.65" customHeight="1" x14ac:dyDescent="0.15">
      <c r="A1361" s="187" t="s">
        <v>664</v>
      </c>
      <c r="B1361" s="187" t="s">
        <v>822</v>
      </c>
      <c r="C1361" s="187" t="s">
        <v>683</v>
      </c>
      <c r="D1361" s="187" t="s">
        <v>823</v>
      </c>
      <c r="E1361" s="187" t="s">
        <v>356</v>
      </c>
      <c r="F1361" s="188"/>
      <c r="G1361" s="18"/>
      <c r="H1361" s="18">
        <v>2392</v>
      </c>
      <c r="I1361" s="189"/>
      <c r="J1361" s="189">
        <f t="shared" si="119"/>
        <v>0</v>
      </c>
      <c r="K1361" s="189">
        <f t="shared" si="120"/>
        <v>0</v>
      </c>
      <c r="L1361" s="190" t="s">
        <v>551</v>
      </c>
    </row>
    <row r="1362" spans="1:21" s="180" customFormat="1" ht="8.65" customHeight="1" x14ac:dyDescent="0.15">
      <c r="A1362" s="187" t="s">
        <v>664</v>
      </c>
      <c r="B1362" s="187" t="s">
        <v>2301</v>
      </c>
      <c r="C1362" s="187" t="s">
        <v>683</v>
      </c>
      <c r="D1362" s="187" t="s">
        <v>2302</v>
      </c>
      <c r="E1362" s="187" t="s">
        <v>356</v>
      </c>
      <c r="F1362" s="188"/>
      <c r="G1362" s="18"/>
      <c r="H1362" s="18">
        <v>3600</v>
      </c>
      <c r="I1362" s="189"/>
      <c r="J1362" s="189">
        <f t="shared" si="119"/>
        <v>0</v>
      </c>
      <c r="K1362" s="189">
        <f t="shared" si="120"/>
        <v>0</v>
      </c>
      <c r="L1362" s="190" t="s">
        <v>551</v>
      </c>
    </row>
    <row r="1363" spans="1:21" s="180" customFormat="1" ht="8.65" customHeight="1" x14ac:dyDescent="0.15">
      <c r="A1363" s="187" t="s">
        <v>664</v>
      </c>
      <c r="B1363" s="187" t="s">
        <v>830</v>
      </c>
      <c r="C1363" s="187" t="s">
        <v>683</v>
      </c>
      <c r="D1363" s="187" t="s">
        <v>831</v>
      </c>
      <c r="E1363" s="187" t="s">
        <v>356</v>
      </c>
      <c r="F1363" s="188"/>
      <c r="G1363" s="18"/>
      <c r="H1363" s="18">
        <v>3030</v>
      </c>
      <c r="I1363" s="189"/>
      <c r="J1363" s="189">
        <f t="shared" si="119"/>
        <v>0</v>
      </c>
      <c r="K1363" s="189">
        <f t="shared" si="120"/>
        <v>0</v>
      </c>
      <c r="L1363" s="190" t="s">
        <v>551</v>
      </c>
    </row>
    <row r="1364" spans="1:21" s="180" customFormat="1" ht="10.15" customHeight="1" x14ac:dyDescent="0.15">
      <c r="A1364" s="269" t="s">
        <v>358</v>
      </c>
      <c r="B1364" s="269"/>
      <c r="C1364" s="269"/>
      <c r="D1364" s="269"/>
      <c r="E1364" s="269"/>
      <c r="F1364" s="269"/>
      <c r="G1364" s="222"/>
      <c r="H1364" s="222"/>
      <c r="I1364" s="223">
        <f>SUM(I1339:I1363)</f>
        <v>0</v>
      </c>
      <c r="J1364" s="223">
        <f>SUM(J1339:J1363)</f>
        <v>0</v>
      </c>
      <c r="K1364" s="223">
        <f>SUM(K1339:K1363)</f>
        <v>0</v>
      </c>
      <c r="L1364" s="240"/>
    </row>
    <row r="1365" spans="1:21" s="180" customFormat="1" ht="4.9000000000000004" customHeight="1" x14ac:dyDescent="0.2">
      <c r="A1365" s="197"/>
      <c r="B1365" s="197"/>
      <c r="C1365" s="197"/>
      <c r="D1365" s="197"/>
      <c r="E1365" s="197"/>
      <c r="F1365" s="197"/>
      <c r="G1365" s="197"/>
      <c r="H1365" s="198"/>
      <c r="I1365" s="199"/>
      <c r="J1365" s="199"/>
      <c r="K1365" s="199"/>
      <c r="L1365" s="197"/>
      <c r="M1365" s="197"/>
      <c r="N1365" s="197"/>
      <c r="O1365" s="197"/>
      <c r="P1365" s="197"/>
      <c r="Q1365" s="197"/>
      <c r="R1365" s="197"/>
      <c r="S1365" s="197"/>
      <c r="T1365" s="197"/>
      <c r="U1365" s="197"/>
    </row>
    <row r="1366" spans="1:21" s="180" customFormat="1" ht="8.65" customHeight="1" x14ac:dyDescent="0.15">
      <c r="A1366" s="243" t="s">
        <v>664</v>
      </c>
      <c r="B1366" s="243" t="s">
        <v>2303</v>
      </c>
      <c r="C1366" s="243" t="s">
        <v>666</v>
      </c>
      <c r="D1366" s="243" t="s">
        <v>2304</v>
      </c>
      <c r="E1366" s="243" t="s">
        <v>362</v>
      </c>
      <c r="F1366" s="243" t="s">
        <v>363</v>
      </c>
      <c r="G1366" s="244"/>
      <c r="H1366" s="244">
        <v>25392</v>
      </c>
      <c r="I1366" s="245"/>
      <c r="J1366" s="245">
        <f>37890-H1366</f>
        <v>12498</v>
      </c>
      <c r="K1366" s="245">
        <f>+J1366-I1366</f>
        <v>12498</v>
      </c>
      <c r="L1366" s="246" t="s">
        <v>551</v>
      </c>
    </row>
    <row r="1367" spans="1:21" s="180" customFormat="1" ht="8.65" customHeight="1" x14ac:dyDescent="0.15">
      <c r="A1367" s="243" t="s">
        <v>664</v>
      </c>
      <c r="B1367" s="243" t="s">
        <v>764</v>
      </c>
      <c r="C1367" s="243" t="s">
        <v>666</v>
      </c>
      <c r="D1367" s="243" t="s">
        <v>765</v>
      </c>
      <c r="E1367" s="243" t="s">
        <v>362</v>
      </c>
      <c r="F1367" s="247"/>
      <c r="G1367" s="244"/>
      <c r="H1367" s="244">
        <v>231</v>
      </c>
      <c r="I1367" s="245"/>
      <c r="J1367" s="245">
        <f>345-H1367</f>
        <v>114</v>
      </c>
      <c r="K1367" s="245">
        <f>+J1367-I1367</f>
        <v>114</v>
      </c>
      <c r="L1367" s="246" t="s">
        <v>551</v>
      </c>
    </row>
    <row r="1368" spans="1:21" s="180" customFormat="1" ht="8.65" customHeight="1" x14ac:dyDescent="0.15">
      <c r="A1368" s="243" t="s">
        <v>664</v>
      </c>
      <c r="B1368" s="243" t="s">
        <v>678</v>
      </c>
      <c r="C1368" s="243" t="s">
        <v>676</v>
      </c>
      <c r="D1368" s="243" t="s">
        <v>679</v>
      </c>
      <c r="E1368" s="243" t="s">
        <v>362</v>
      </c>
      <c r="F1368" s="247"/>
      <c r="G1368" s="244"/>
      <c r="H1368" s="244">
        <v>2384</v>
      </c>
      <c r="I1368" s="245"/>
      <c r="J1368" s="245">
        <f>4515-H1368</f>
        <v>2131</v>
      </c>
      <c r="K1368" s="245">
        <f>+J1368-I1368</f>
        <v>2131</v>
      </c>
      <c r="L1368" s="246" t="s">
        <v>551</v>
      </c>
    </row>
    <row r="1369" spans="1:21" s="180" customFormat="1" ht="8.65" customHeight="1" x14ac:dyDescent="0.15">
      <c r="A1369" s="243" t="s">
        <v>664</v>
      </c>
      <c r="B1369" s="243" t="s">
        <v>680</v>
      </c>
      <c r="C1369" s="243" t="s">
        <v>676</v>
      </c>
      <c r="D1369" s="243" t="s">
        <v>681</v>
      </c>
      <c r="E1369" s="243" t="s">
        <v>362</v>
      </c>
      <c r="F1369" s="247"/>
      <c r="G1369" s="244"/>
      <c r="H1369" s="244">
        <v>2378</v>
      </c>
      <c r="I1369" s="245"/>
      <c r="J1369" s="245">
        <f>4500-H1369</f>
        <v>2122</v>
      </c>
      <c r="K1369" s="245">
        <f>+J1369-I1369</f>
        <v>2122</v>
      </c>
      <c r="L1369" s="246" t="s">
        <v>551</v>
      </c>
    </row>
    <row r="1370" spans="1:21" s="180" customFormat="1" ht="8.65" customHeight="1" x14ac:dyDescent="0.15">
      <c r="A1370" s="243" t="s">
        <v>664</v>
      </c>
      <c r="B1370" s="243" t="s">
        <v>734</v>
      </c>
      <c r="C1370" s="243" t="s">
        <v>683</v>
      </c>
      <c r="D1370" s="243" t="s">
        <v>735</v>
      </c>
      <c r="E1370" s="243" t="s">
        <v>362</v>
      </c>
      <c r="F1370" s="247"/>
      <c r="G1370" s="244"/>
      <c r="H1370" s="244">
        <v>1130</v>
      </c>
      <c r="I1370" s="245"/>
      <c r="J1370" s="245">
        <f>1130-H$1370</f>
        <v>0</v>
      </c>
      <c r="K1370" s="245">
        <f>+J1370-I$1370</f>
        <v>0</v>
      </c>
      <c r="L1370" s="246" t="s">
        <v>551</v>
      </c>
    </row>
    <row r="1371" spans="1:21" s="180" customFormat="1" ht="8.65" customHeight="1" x14ac:dyDescent="0.15">
      <c r="A1371" s="243" t="s">
        <v>664</v>
      </c>
      <c r="B1371" s="243" t="s">
        <v>736</v>
      </c>
      <c r="C1371" s="243" t="s">
        <v>683</v>
      </c>
      <c r="D1371" s="243" t="s">
        <v>737</v>
      </c>
      <c r="E1371" s="243" t="s">
        <v>362</v>
      </c>
      <c r="F1371" s="247"/>
      <c r="G1371" s="244"/>
      <c r="H1371" s="244">
        <v>3921</v>
      </c>
      <c r="I1371" s="245"/>
      <c r="J1371" s="245">
        <f t="shared" ref="J1371:J1380" si="121">1130-H$1370</f>
        <v>0</v>
      </c>
      <c r="K1371" s="245">
        <f t="shared" ref="K1371:K1380" si="122">+J1371-I$1370</f>
        <v>0</v>
      </c>
      <c r="L1371" s="246" t="s">
        <v>551</v>
      </c>
    </row>
    <row r="1372" spans="1:21" s="180" customFormat="1" ht="8.65" customHeight="1" x14ac:dyDescent="0.15">
      <c r="A1372" s="243" t="s">
        <v>664</v>
      </c>
      <c r="B1372" s="243" t="s">
        <v>738</v>
      </c>
      <c r="C1372" s="243" t="s">
        <v>683</v>
      </c>
      <c r="D1372" s="243" t="s">
        <v>739</v>
      </c>
      <c r="E1372" s="243" t="s">
        <v>362</v>
      </c>
      <c r="F1372" s="247"/>
      <c r="G1372" s="244"/>
      <c r="H1372" s="244">
        <v>1695</v>
      </c>
      <c r="I1372" s="245"/>
      <c r="J1372" s="245">
        <f t="shared" si="121"/>
        <v>0</v>
      </c>
      <c r="K1372" s="245">
        <f t="shared" si="122"/>
        <v>0</v>
      </c>
      <c r="L1372" s="246" t="s">
        <v>551</v>
      </c>
    </row>
    <row r="1373" spans="1:21" s="180" customFormat="1" ht="8.65" customHeight="1" x14ac:dyDescent="0.15">
      <c r="A1373" s="243" t="s">
        <v>664</v>
      </c>
      <c r="B1373" s="243" t="s">
        <v>834</v>
      </c>
      <c r="C1373" s="243" t="s">
        <v>683</v>
      </c>
      <c r="D1373" s="243" t="s">
        <v>835</v>
      </c>
      <c r="E1373" s="243" t="s">
        <v>362</v>
      </c>
      <c r="F1373" s="247"/>
      <c r="G1373" s="244"/>
      <c r="H1373" s="244">
        <v>2826</v>
      </c>
      <c r="I1373" s="245"/>
      <c r="J1373" s="245">
        <f t="shared" si="121"/>
        <v>0</v>
      </c>
      <c r="K1373" s="245">
        <f t="shared" si="122"/>
        <v>0</v>
      </c>
      <c r="L1373" s="246" t="s">
        <v>551</v>
      </c>
    </row>
    <row r="1374" spans="1:21" s="180" customFormat="1" ht="8.65" customHeight="1" x14ac:dyDescent="0.15">
      <c r="A1374" s="243" t="s">
        <v>664</v>
      </c>
      <c r="B1374" s="243" t="s">
        <v>779</v>
      </c>
      <c r="C1374" s="243" t="s">
        <v>683</v>
      </c>
      <c r="D1374" s="243" t="s">
        <v>780</v>
      </c>
      <c r="E1374" s="243" t="s">
        <v>362</v>
      </c>
      <c r="F1374" s="247"/>
      <c r="G1374" s="244"/>
      <c r="H1374" s="244">
        <v>1780</v>
      </c>
      <c r="I1374" s="245"/>
      <c r="J1374" s="245">
        <f t="shared" si="121"/>
        <v>0</v>
      </c>
      <c r="K1374" s="245">
        <f t="shared" si="122"/>
        <v>0</v>
      </c>
      <c r="L1374" s="246" t="s">
        <v>551</v>
      </c>
    </row>
    <row r="1375" spans="1:21" s="180" customFormat="1" ht="8.65" customHeight="1" x14ac:dyDescent="0.15">
      <c r="A1375" s="243" t="s">
        <v>664</v>
      </c>
      <c r="B1375" s="243" t="s">
        <v>2305</v>
      </c>
      <c r="C1375" s="243" t="s">
        <v>683</v>
      </c>
      <c r="D1375" s="243" t="s">
        <v>2306</v>
      </c>
      <c r="E1375" s="243" t="s">
        <v>362</v>
      </c>
      <c r="F1375" s="247"/>
      <c r="G1375" s="244"/>
      <c r="H1375" s="244">
        <v>4660</v>
      </c>
      <c r="I1375" s="245"/>
      <c r="J1375" s="245">
        <f t="shared" si="121"/>
        <v>0</v>
      </c>
      <c r="K1375" s="245">
        <f t="shared" si="122"/>
        <v>0</v>
      </c>
      <c r="L1375" s="246" t="s">
        <v>551</v>
      </c>
    </row>
    <row r="1376" spans="1:21" s="180" customFormat="1" ht="8.65" customHeight="1" x14ac:dyDescent="0.15">
      <c r="A1376" s="243" t="s">
        <v>664</v>
      </c>
      <c r="B1376" s="243" t="s">
        <v>742</v>
      </c>
      <c r="C1376" s="243" t="s">
        <v>683</v>
      </c>
      <c r="D1376" s="243" t="s">
        <v>743</v>
      </c>
      <c r="E1376" s="243" t="s">
        <v>362</v>
      </c>
      <c r="F1376" s="247"/>
      <c r="G1376" s="244"/>
      <c r="H1376" s="244">
        <v>2052</v>
      </c>
      <c r="I1376" s="245"/>
      <c r="J1376" s="245">
        <f t="shared" si="121"/>
        <v>0</v>
      </c>
      <c r="K1376" s="245">
        <f t="shared" si="122"/>
        <v>0</v>
      </c>
      <c r="L1376" s="246" t="s">
        <v>551</v>
      </c>
    </row>
    <row r="1377" spans="1:12" s="180" customFormat="1" ht="8.65" customHeight="1" x14ac:dyDescent="0.15">
      <c r="A1377" s="243" t="s">
        <v>664</v>
      </c>
      <c r="B1377" s="243" t="s">
        <v>807</v>
      </c>
      <c r="C1377" s="243" t="s">
        <v>683</v>
      </c>
      <c r="D1377" s="243" t="s">
        <v>808</v>
      </c>
      <c r="E1377" s="243" t="s">
        <v>362</v>
      </c>
      <c r="F1377" s="247"/>
      <c r="G1377" s="244"/>
      <c r="H1377" s="244">
        <v>345</v>
      </c>
      <c r="I1377" s="245"/>
      <c r="J1377" s="245">
        <f t="shared" si="121"/>
        <v>0</v>
      </c>
      <c r="K1377" s="245">
        <f t="shared" si="122"/>
        <v>0</v>
      </c>
      <c r="L1377" s="246" t="s">
        <v>551</v>
      </c>
    </row>
    <row r="1378" spans="1:12" s="180" customFormat="1" ht="8.65" customHeight="1" x14ac:dyDescent="0.15">
      <c r="A1378" s="243" t="s">
        <v>664</v>
      </c>
      <c r="B1378" s="243" t="s">
        <v>987</v>
      </c>
      <c r="C1378" s="243" t="s">
        <v>683</v>
      </c>
      <c r="D1378" s="243" t="s">
        <v>988</v>
      </c>
      <c r="E1378" s="243" t="s">
        <v>362</v>
      </c>
      <c r="F1378" s="247"/>
      <c r="G1378" s="244"/>
      <c r="H1378" s="244">
        <v>2376</v>
      </c>
      <c r="I1378" s="245"/>
      <c r="J1378" s="245">
        <f t="shared" si="121"/>
        <v>0</v>
      </c>
      <c r="K1378" s="245">
        <f t="shared" si="122"/>
        <v>0</v>
      </c>
      <c r="L1378" s="246" t="s">
        <v>551</v>
      </c>
    </row>
    <row r="1379" spans="1:12" s="180" customFormat="1" ht="8.65" customHeight="1" x14ac:dyDescent="0.15">
      <c r="A1379" s="243" t="s">
        <v>664</v>
      </c>
      <c r="B1379" s="243" t="s">
        <v>854</v>
      </c>
      <c r="C1379" s="243" t="s">
        <v>683</v>
      </c>
      <c r="D1379" s="243" t="s">
        <v>855</v>
      </c>
      <c r="E1379" s="243" t="s">
        <v>362</v>
      </c>
      <c r="F1379" s="247"/>
      <c r="G1379" s="244"/>
      <c r="H1379" s="244">
        <v>1230</v>
      </c>
      <c r="I1379" s="245"/>
      <c r="J1379" s="245">
        <f t="shared" si="121"/>
        <v>0</v>
      </c>
      <c r="K1379" s="245">
        <f t="shared" si="122"/>
        <v>0</v>
      </c>
      <c r="L1379" s="246" t="s">
        <v>551</v>
      </c>
    </row>
    <row r="1380" spans="1:12" s="180" customFormat="1" ht="8.65" customHeight="1" x14ac:dyDescent="0.15">
      <c r="A1380" s="243" t="s">
        <v>664</v>
      </c>
      <c r="B1380" s="243" t="s">
        <v>2307</v>
      </c>
      <c r="C1380" s="243" t="s">
        <v>683</v>
      </c>
      <c r="D1380" s="243" t="s">
        <v>2308</v>
      </c>
      <c r="E1380" s="243" t="s">
        <v>362</v>
      </c>
      <c r="F1380" s="247"/>
      <c r="G1380" s="244"/>
      <c r="H1380" s="244">
        <v>7110</v>
      </c>
      <c r="I1380" s="245"/>
      <c r="J1380" s="245">
        <f t="shared" si="121"/>
        <v>0</v>
      </c>
      <c r="K1380" s="245">
        <f t="shared" si="122"/>
        <v>0</v>
      </c>
      <c r="L1380" s="246" t="s">
        <v>551</v>
      </c>
    </row>
    <row r="1381" spans="1:12" s="180" customFormat="1" ht="8.65" customHeight="1" x14ac:dyDescent="0.15">
      <c r="A1381" s="243" t="s">
        <v>664</v>
      </c>
      <c r="B1381" s="243" t="s">
        <v>1130</v>
      </c>
      <c r="C1381" s="243" t="s">
        <v>666</v>
      </c>
      <c r="D1381" s="243" t="s">
        <v>1131</v>
      </c>
      <c r="E1381" s="243" t="s">
        <v>362</v>
      </c>
      <c r="F1381" s="247"/>
      <c r="G1381" s="244"/>
      <c r="H1381" s="244">
        <v>2352</v>
      </c>
      <c r="I1381" s="245"/>
      <c r="J1381" s="245">
        <f>3510-H1381</f>
        <v>1158</v>
      </c>
      <c r="K1381" s="245">
        <f>+J1381-I1381</f>
        <v>1158</v>
      </c>
      <c r="L1381" s="246" t="s">
        <v>551</v>
      </c>
    </row>
    <row r="1382" spans="1:12" s="180" customFormat="1" ht="8.65" customHeight="1" x14ac:dyDescent="0.15">
      <c r="A1382" s="243" t="s">
        <v>664</v>
      </c>
      <c r="B1382" s="243" t="s">
        <v>1136</v>
      </c>
      <c r="C1382" s="243" t="s">
        <v>666</v>
      </c>
      <c r="D1382" s="243" t="s">
        <v>1137</v>
      </c>
      <c r="E1382" s="243" t="s">
        <v>362</v>
      </c>
      <c r="F1382" s="247"/>
      <c r="G1382" s="244"/>
      <c r="H1382" s="244">
        <v>8987</v>
      </c>
      <c r="I1382" s="245"/>
      <c r="J1382" s="245">
        <f>13410-H1382</f>
        <v>4423</v>
      </c>
      <c r="K1382" s="245">
        <f>+J1382-I1382</f>
        <v>4423</v>
      </c>
      <c r="L1382" s="246" t="s">
        <v>551</v>
      </c>
    </row>
    <row r="1383" spans="1:12" s="180" customFormat="1" ht="8.65" customHeight="1" x14ac:dyDescent="0.15">
      <c r="A1383" s="243" t="s">
        <v>664</v>
      </c>
      <c r="B1383" s="243" t="s">
        <v>702</v>
      </c>
      <c r="C1383" s="243" t="s">
        <v>666</v>
      </c>
      <c r="D1383" s="243" t="s">
        <v>872</v>
      </c>
      <c r="E1383" s="243" t="s">
        <v>362</v>
      </c>
      <c r="F1383" s="247"/>
      <c r="G1383" s="244"/>
      <c r="H1383" s="244">
        <v>3894</v>
      </c>
      <c r="I1383" s="245"/>
      <c r="J1383" s="245">
        <f>5800-H1383</f>
        <v>1906</v>
      </c>
      <c r="K1383" s="245">
        <f>+J1383-I1383</f>
        <v>1906</v>
      </c>
      <c r="L1383" s="246" t="s">
        <v>551</v>
      </c>
    </row>
    <row r="1384" spans="1:12" s="180" customFormat="1" ht="8.65" customHeight="1" x14ac:dyDescent="0.15">
      <c r="A1384" s="243" t="s">
        <v>664</v>
      </c>
      <c r="B1384" s="243" t="s">
        <v>824</v>
      </c>
      <c r="C1384" s="243" t="s">
        <v>683</v>
      </c>
      <c r="D1384" s="243" t="s">
        <v>825</v>
      </c>
      <c r="E1384" s="243" t="s">
        <v>362</v>
      </c>
      <c r="F1384" s="247"/>
      <c r="G1384" s="244"/>
      <c r="H1384" s="244">
        <v>2055</v>
      </c>
      <c r="I1384" s="245"/>
      <c r="J1384" s="245">
        <f>2055-H1384</f>
        <v>0</v>
      </c>
      <c r="K1384" s="245">
        <f>+J1384-I1384</f>
        <v>0</v>
      </c>
      <c r="L1384" s="246" t="s">
        <v>551</v>
      </c>
    </row>
    <row r="1385" spans="1:12" s="180" customFormat="1" ht="8.65" customHeight="1" x14ac:dyDescent="0.15">
      <c r="A1385" s="243" t="s">
        <v>664</v>
      </c>
      <c r="B1385" s="243" t="s">
        <v>2309</v>
      </c>
      <c r="C1385" s="243" t="s">
        <v>942</v>
      </c>
      <c r="D1385" s="243" t="s">
        <v>2310</v>
      </c>
      <c r="E1385" s="243" t="s">
        <v>362</v>
      </c>
      <c r="F1385" s="247"/>
      <c r="G1385" s="244"/>
      <c r="H1385" s="244">
        <v>3594.11</v>
      </c>
      <c r="I1385" s="245"/>
      <c r="J1385" s="245">
        <f>60000-H1385</f>
        <v>56405.89</v>
      </c>
      <c r="K1385" s="245">
        <f>+J1385-I1385</f>
        <v>56405.89</v>
      </c>
      <c r="L1385" s="246" t="s">
        <v>551</v>
      </c>
    </row>
    <row r="1386" spans="1:12" s="180" customFormat="1" ht="10.15" customHeight="1" x14ac:dyDescent="0.15">
      <c r="A1386" s="269" t="s">
        <v>382</v>
      </c>
      <c r="B1386" s="269"/>
      <c r="C1386" s="269"/>
      <c r="D1386" s="269"/>
      <c r="E1386" s="269"/>
      <c r="F1386" s="269"/>
      <c r="G1386" s="222"/>
      <c r="H1386" s="222"/>
      <c r="I1386" s="223"/>
      <c r="J1386" s="223">
        <f>SUM(J1366:J1385)</f>
        <v>80757.89</v>
      </c>
      <c r="K1386" s="223">
        <f>SUM(K1366:K1385)</f>
        <v>80757.89</v>
      </c>
      <c r="L1386" s="240"/>
    </row>
    <row r="1387" spans="1:12" x14ac:dyDescent="0.2">
      <c r="A1387" s="273" t="s">
        <v>383</v>
      </c>
      <c r="B1387" s="273"/>
      <c r="C1387" s="273"/>
      <c r="D1387" s="273"/>
      <c r="E1387" s="137"/>
      <c r="F1387" s="137"/>
      <c r="G1387" s="138"/>
      <c r="H1387" s="138"/>
      <c r="I1387" s="138"/>
      <c r="J1387" s="138">
        <f>+J1364+J1337+J1325+J1242+J1230+J1201+J1196+J1175+J1161+J1137+J1102+J1078+J1060+J1024+J1017+J629+J583+J534+J515+J511+J472+J458+J302+J255+J230+J208+J205+J172+J145+J123+J94+J48+J28</f>
        <v>118432300.08</v>
      </c>
      <c r="K1387" s="139"/>
      <c r="L1387" s="139"/>
    </row>
  </sheetData>
  <mergeCells count="34">
    <mergeCell ref="A1387:D1387"/>
    <mergeCell ref="A458:F458"/>
    <mergeCell ref="A28:F28"/>
    <mergeCell ref="A48:F48"/>
    <mergeCell ref="A94:F94"/>
    <mergeCell ref="A123:F123"/>
    <mergeCell ref="A145:F145"/>
    <mergeCell ref="A172:F172"/>
    <mergeCell ref="A205:F205"/>
    <mergeCell ref="A208:F208"/>
    <mergeCell ref="A230:F230"/>
    <mergeCell ref="A255:F255"/>
    <mergeCell ref="A302:F302"/>
    <mergeCell ref="A1137:F1137"/>
    <mergeCell ref="A472:F472"/>
    <mergeCell ref="A511:F511"/>
    <mergeCell ref="A515:F515"/>
    <mergeCell ref="A534:F534"/>
    <mergeCell ref="A583:F583"/>
    <mergeCell ref="A629:F629"/>
    <mergeCell ref="A1017:F1017"/>
    <mergeCell ref="A1024:F1024"/>
    <mergeCell ref="A1060:F1060"/>
    <mergeCell ref="A1078:F1078"/>
    <mergeCell ref="A1102:F1102"/>
    <mergeCell ref="A1337:F1337"/>
    <mergeCell ref="A1364:F1364"/>
    <mergeCell ref="A1386:F1386"/>
    <mergeCell ref="A1161:F1161"/>
    <mergeCell ref="A1175:F1175"/>
    <mergeCell ref="A1196:F1196"/>
    <mergeCell ref="A1201:F1201"/>
    <mergeCell ref="A1230:F1230"/>
    <mergeCell ref="A1325:F1325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F9995-4725-40F8-A3DD-DF8EDE693678}">
  <dimension ref="B1:M103"/>
  <sheetViews>
    <sheetView topLeftCell="E1" zoomScale="160" zoomScaleNormal="160" workbookViewId="0">
      <pane ySplit="1" topLeftCell="A81" activePane="bottomLeft" state="frozen"/>
      <selection pane="bottomLeft" activeCell="M102" sqref="M102"/>
    </sheetView>
  </sheetViews>
  <sheetFormatPr baseColWidth="10" defaultColWidth="11.5703125" defaultRowHeight="12.75" x14ac:dyDescent="0.2"/>
  <cols>
    <col min="1" max="1" width="3.7109375" style="31" customWidth="1"/>
    <col min="2" max="2" width="10.42578125" style="31" customWidth="1"/>
    <col min="3" max="3" width="10.7109375" style="31" customWidth="1"/>
    <col min="4" max="4" width="12.7109375" style="143" customWidth="1"/>
    <col min="5" max="5" width="40.7109375" style="31" customWidth="1"/>
    <col min="6" max="6" width="6.5703125" style="31" customWidth="1"/>
    <col min="7" max="7" width="28" style="31" customWidth="1"/>
    <col min="8" max="8" width="14" style="144" customWidth="1"/>
    <col min="9" max="9" width="16.7109375" style="144" customWidth="1"/>
    <col min="10" max="10" width="13.85546875" style="144" bestFit="1" customWidth="1"/>
    <col min="11" max="11" width="12.5703125" style="144" bestFit="1" customWidth="1"/>
    <col min="12" max="12" width="12.7109375" style="144" bestFit="1" customWidth="1"/>
    <col min="13" max="13" width="12.28515625" style="145" customWidth="1"/>
    <col min="14" max="14" width="4.7109375" style="31" customWidth="1"/>
    <col min="15" max="16384" width="11.5703125" style="31"/>
  </cols>
  <sheetData>
    <row r="1" spans="2:13" s="3" customFormat="1" ht="39.950000000000003" customHeight="1" x14ac:dyDescent="0.15">
      <c r="B1" s="124" t="s">
        <v>0</v>
      </c>
      <c r="C1" s="125" t="s">
        <v>429</v>
      </c>
      <c r="D1" s="125" t="s">
        <v>1</v>
      </c>
      <c r="E1" s="124" t="s">
        <v>428</v>
      </c>
      <c r="F1" s="124" t="s">
        <v>2</v>
      </c>
      <c r="G1" s="124" t="s">
        <v>3</v>
      </c>
      <c r="H1" s="126" t="s">
        <v>430</v>
      </c>
      <c r="I1" s="126" t="s">
        <v>398</v>
      </c>
      <c r="J1" s="126" t="s">
        <v>4</v>
      </c>
      <c r="K1" s="126" t="s">
        <v>547</v>
      </c>
      <c r="L1" s="126" t="s">
        <v>432</v>
      </c>
      <c r="M1" s="126" t="s">
        <v>399</v>
      </c>
    </row>
    <row r="2" spans="2:13" s="3" customFormat="1" ht="10.7" customHeight="1" x14ac:dyDescent="0.15">
      <c r="B2" s="127" t="s">
        <v>548</v>
      </c>
      <c r="C2" s="127"/>
      <c r="D2" s="128" t="s">
        <v>549</v>
      </c>
      <c r="E2" s="127" t="s">
        <v>550</v>
      </c>
      <c r="F2" s="127" t="s">
        <v>89</v>
      </c>
      <c r="G2" s="127" t="s">
        <v>90</v>
      </c>
      <c r="H2" s="20"/>
      <c r="I2" s="20"/>
      <c r="J2" s="129">
        <v>4300000</v>
      </c>
      <c r="K2" s="129"/>
      <c r="L2" s="10">
        <v>4300000</v>
      </c>
      <c r="M2" s="130" t="s">
        <v>551</v>
      </c>
    </row>
    <row r="3" spans="2:13" s="3" customFormat="1" ht="10.7" customHeight="1" x14ac:dyDescent="0.15">
      <c r="B3" s="12" t="s">
        <v>548</v>
      </c>
      <c r="C3" s="12"/>
      <c r="D3" s="22" t="s">
        <v>552</v>
      </c>
      <c r="E3" s="12" t="s">
        <v>553</v>
      </c>
      <c r="F3" s="12" t="s">
        <v>89</v>
      </c>
      <c r="G3" s="4"/>
      <c r="H3" s="15">
        <f>+J3</f>
        <v>60038030</v>
      </c>
      <c r="I3" s="15"/>
      <c r="J3" s="10">
        <v>60038030</v>
      </c>
      <c r="K3" s="10">
        <v>59802496.189999998</v>
      </c>
      <c r="L3" s="10">
        <v>235533.81000000201</v>
      </c>
      <c r="M3" s="130" t="s">
        <v>554</v>
      </c>
    </row>
    <row r="4" spans="2:13" s="3" customFormat="1" ht="12.75" customHeight="1" x14ac:dyDescent="0.15">
      <c r="B4" s="259" t="s">
        <v>114</v>
      </c>
      <c r="C4" s="259"/>
      <c r="D4" s="259"/>
      <c r="E4" s="259"/>
      <c r="F4" s="259"/>
      <c r="G4" s="259"/>
      <c r="H4" s="93"/>
      <c r="I4" s="93"/>
      <c r="J4" s="93">
        <f>SUM(J2:J3)</f>
        <v>64338030</v>
      </c>
      <c r="K4" s="93">
        <f>SUM(K2:K3)</f>
        <v>59802496.189999998</v>
      </c>
      <c r="L4" s="93">
        <v>4535533.8099999996</v>
      </c>
      <c r="M4" s="131"/>
    </row>
    <row r="5" spans="2:13" s="3" customFormat="1" ht="3.75" customHeight="1" x14ac:dyDescent="0.2">
      <c r="B5" s="13"/>
      <c r="C5" s="13"/>
      <c r="D5" s="132"/>
      <c r="E5" s="13"/>
      <c r="F5" s="13"/>
      <c r="G5" s="13"/>
      <c r="H5" s="11"/>
      <c r="I5" s="11"/>
      <c r="J5" s="11"/>
      <c r="K5" s="11"/>
      <c r="L5" s="11"/>
      <c r="M5" s="130"/>
    </row>
    <row r="6" spans="2:13" s="3" customFormat="1" ht="10.7" customHeight="1" x14ac:dyDescent="0.15">
      <c r="B6" s="127" t="s">
        <v>548</v>
      </c>
      <c r="C6" s="127"/>
      <c r="D6" s="128" t="s">
        <v>555</v>
      </c>
      <c r="E6" s="127" t="s">
        <v>556</v>
      </c>
      <c r="F6" s="127" t="s">
        <v>480</v>
      </c>
      <c r="G6" s="127" t="s">
        <v>481</v>
      </c>
      <c r="H6" s="20">
        <f>+J6</f>
        <v>300000</v>
      </c>
      <c r="I6" s="20"/>
      <c r="J6" s="129">
        <v>300000</v>
      </c>
      <c r="K6" s="129"/>
      <c r="L6" s="10">
        <v>300000</v>
      </c>
      <c r="M6" s="130"/>
    </row>
    <row r="7" spans="2:13" s="3" customFormat="1" ht="10.7" customHeight="1" x14ac:dyDescent="0.15">
      <c r="B7" s="12" t="s">
        <v>548</v>
      </c>
      <c r="C7" s="12"/>
      <c r="D7" s="22" t="s">
        <v>555</v>
      </c>
      <c r="E7" s="12" t="s">
        <v>557</v>
      </c>
      <c r="F7" s="12" t="s">
        <v>480</v>
      </c>
      <c r="G7" s="4"/>
      <c r="H7" s="15">
        <f>+J7</f>
        <v>100000</v>
      </c>
      <c r="I7" s="15"/>
      <c r="J7" s="10">
        <v>100000</v>
      </c>
      <c r="K7" s="10"/>
      <c r="L7" s="10">
        <v>100000</v>
      </c>
      <c r="M7" s="130"/>
    </row>
    <row r="8" spans="2:13" s="3" customFormat="1" ht="10.7" customHeight="1" x14ac:dyDescent="0.15">
      <c r="B8" s="127" t="s">
        <v>548</v>
      </c>
      <c r="C8" s="127"/>
      <c r="D8" s="128" t="s">
        <v>555</v>
      </c>
      <c r="E8" s="127" t="s">
        <v>558</v>
      </c>
      <c r="F8" s="127" t="s">
        <v>480</v>
      </c>
      <c r="G8" s="133"/>
      <c r="H8" s="20">
        <f>+J8</f>
        <v>400000</v>
      </c>
      <c r="I8" s="20"/>
      <c r="J8" s="129">
        <v>400000</v>
      </c>
      <c r="K8" s="129"/>
      <c r="L8" s="10">
        <v>400000</v>
      </c>
      <c r="M8" s="130"/>
    </row>
    <row r="9" spans="2:13" s="3" customFormat="1" ht="10.7" customHeight="1" x14ac:dyDescent="0.15">
      <c r="B9" s="12" t="s">
        <v>548</v>
      </c>
      <c r="C9" s="12"/>
      <c r="D9" s="22" t="s">
        <v>555</v>
      </c>
      <c r="E9" s="12" t="s">
        <v>559</v>
      </c>
      <c r="F9" s="12" t="s">
        <v>480</v>
      </c>
      <c r="G9" s="4"/>
      <c r="H9" s="15">
        <f>+J9</f>
        <v>400000</v>
      </c>
      <c r="I9" s="15"/>
      <c r="J9" s="10">
        <v>400000</v>
      </c>
      <c r="K9" s="10"/>
      <c r="L9" s="10">
        <v>400000</v>
      </c>
      <c r="M9" s="130"/>
    </row>
    <row r="10" spans="2:13" s="3" customFormat="1" ht="12.75" customHeight="1" x14ac:dyDescent="0.15">
      <c r="B10" s="259" t="s">
        <v>479</v>
      </c>
      <c r="C10" s="259"/>
      <c r="D10" s="259"/>
      <c r="E10" s="259"/>
      <c r="F10" s="259"/>
      <c r="G10" s="259"/>
      <c r="H10" s="93"/>
      <c r="I10" s="93"/>
      <c r="J10" s="93">
        <f>SUM(J6:J9)</f>
        <v>1200000</v>
      </c>
      <c r="K10" s="93">
        <f>+K9+K8+K7+K6</f>
        <v>0</v>
      </c>
      <c r="L10" s="93">
        <v>1200000</v>
      </c>
      <c r="M10" s="131"/>
    </row>
    <row r="11" spans="2:13" s="3" customFormat="1" ht="3.75" customHeight="1" x14ac:dyDescent="0.2">
      <c r="B11" s="13"/>
      <c r="C11" s="13"/>
      <c r="D11" s="132"/>
      <c r="E11" s="13"/>
      <c r="F11" s="13"/>
      <c r="G11" s="13"/>
      <c r="H11" s="11"/>
      <c r="I11" s="11"/>
      <c r="J11" s="11"/>
      <c r="K11" s="11"/>
      <c r="L11" s="11"/>
      <c r="M11" s="130"/>
    </row>
    <row r="12" spans="2:13" s="3" customFormat="1" ht="10.7" customHeight="1" x14ac:dyDescent="0.15">
      <c r="B12" s="127" t="s">
        <v>548</v>
      </c>
      <c r="C12" s="127"/>
      <c r="D12" s="128" t="s">
        <v>560</v>
      </c>
      <c r="E12" s="127" t="s">
        <v>561</v>
      </c>
      <c r="F12" s="127" t="s">
        <v>158</v>
      </c>
      <c r="G12" s="127" t="s">
        <v>159</v>
      </c>
      <c r="H12" s="20"/>
      <c r="I12" s="20">
        <v>1200000</v>
      </c>
      <c r="J12" s="129">
        <v>0</v>
      </c>
      <c r="K12" s="129"/>
      <c r="L12" s="10">
        <v>0</v>
      </c>
      <c r="M12" s="130" t="s">
        <v>562</v>
      </c>
    </row>
    <row r="13" spans="2:13" s="3" customFormat="1" ht="10.7" customHeight="1" x14ac:dyDescent="0.15">
      <c r="B13" s="12" t="s">
        <v>548</v>
      </c>
      <c r="C13" s="12"/>
      <c r="D13" s="22" t="s">
        <v>563</v>
      </c>
      <c r="E13" s="12" t="s">
        <v>564</v>
      </c>
      <c r="F13" s="12" t="s">
        <v>158</v>
      </c>
      <c r="G13" s="4"/>
      <c r="H13" s="15">
        <v>1200000</v>
      </c>
      <c r="I13" s="15"/>
      <c r="J13" s="10">
        <f>+H13</f>
        <v>1200000</v>
      </c>
      <c r="K13" s="10"/>
      <c r="L13" s="10">
        <v>1200000</v>
      </c>
      <c r="M13" s="130"/>
    </row>
    <row r="14" spans="2:13" s="3" customFormat="1" ht="10.7" customHeight="1" x14ac:dyDescent="0.15">
      <c r="B14" s="127" t="s">
        <v>548</v>
      </c>
      <c r="C14" s="127"/>
      <c r="D14" s="128" t="s">
        <v>555</v>
      </c>
      <c r="E14" s="127" t="s">
        <v>565</v>
      </c>
      <c r="F14" s="127" t="s">
        <v>158</v>
      </c>
      <c r="G14" s="133"/>
      <c r="H14" s="20"/>
      <c r="I14" s="20"/>
      <c r="J14" s="129">
        <v>417500</v>
      </c>
      <c r="K14" s="129"/>
      <c r="L14" s="10">
        <v>417500</v>
      </c>
      <c r="M14" s="130"/>
    </row>
    <row r="15" spans="2:13" s="3" customFormat="1" ht="10.7" customHeight="1" x14ac:dyDescent="0.15">
      <c r="B15" s="12" t="s">
        <v>548</v>
      </c>
      <c r="C15" s="12"/>
      <c r="D15" s="22" t="s">
        <v>555</v>
      </c>
      <c r="E15" s="12" t="s">
        <v>566</v>
      </c>
      <c r="F15" s="12" t="s">
        <v>158</v>
      </c>
      <c r="G15" s="4"/>
      <c r="H15" s="15"/>
      <c r="I15" s="15"/>
      <c r="J15" s="10">
        <v>27500</v>
      </c>
      <c r="K15" s="10"/>
      <c r="L15" s="10">
        <v>27500</v>
      </c>
      <c r="M15" s="130"/>
    </row>
    <row r="16" spans="2:13" s="3" customFormat="1" ht="12.75" customHeight="1" x14ac:dyDescent="0.15">
      <c r="B16" s="259" t="s">
        <v>168</v>
      </c>
      <c r="C16" s="259"/>
      <c r="D16" s="259"/>
      <c r="E16" s="259"/>
      <c r="F16" s="259"/>
      <c r="G16" s="259"/>
      <c r="H16" s="93"/>
      <c r="I16" s="93"/>
      <c r="J16" s="93">
        <f>SUM(J12:J15)</f>
        <v>1645000</v>
      </c>
      <c r="K16" s="93"/>
      <c r="L16" s="134">
        <v>1645000</v>
      </c>
      <c r="M16" s="131"/>
    </row>
    <row r="17" spans="2:13" s="3" customFormat="1" ht="3.75" customHeight="1" x14ac:dyDescent="0.2">
      <c r="B17" s="13"/>
      <c r="C17" s="13"/>
      <c r="D17" s="132"/>
      <c r="E17" s="13"/>
      <c r="F17" s="13"/>
      <c r="G17" s="13"/>
      <c r="H17" s="11"/>
      <c r="I17" s="11"/>
      <c r="J17" s="11"/>
      <c r="K17" s="11"/>
      <c r="L17" s="11"/>
      <c r="M17" s="130"/>
    </row>
    <row r="18" spans="2:13" s="3" customFormat="1" ht="10.7" customHeight="1" x14ac:dyDescent="0.15">
      <c r="B18" s="127" t="s">
        <v>548</v>
      </c>
      <c r="C18" s="127"/>
      <c r="D18" s="128" t="s">
        <v>560</v>
      </c>
      <c r="E18" s="127" t="s">
        <v>567</v>
      </c>
      <c r="F18" s="127" t="s">
        <v>171</v>
      </c>
      <c r="G18" s="127" t="s">
        <v>172</v>
      </c>
      <c r="H18" s="20">
        <f>1200000+2700000</f>
        <v>3900000</v>
      </c>
      <c r="I18" s="20"/>
      <c r="J18" s="129">
        <f>+H18</f>
        <v>3900000</v>
      </c>
      <c r="K18" s="129"/>
      <c r="L18" s="10">
        <v>3900000</v>
      </c>
      <c r="M18" s="130" t="s">
        <v>568</v>
      </c>
    </row>
    <row r="19" spans="2:13" s="3" customFormat="1" ht="12.75" customHeight="1" x14ac:dyDescent="0.15">
      <c r="B19" s="259" t="s">
        <v>180</v>
      </c>
      <c r="C19" s="259"/>
      <c r="D19" s="259"/>
      <c r="E19" s="259"/>
      <c r="F19" s="259"/>
      <c r="G19" s="259"/>
      <c r="H19" s="93"/>
      <c r="I19" s="93"/>
      <c r="J19" s="93">
        <f>SUM(J18)</f>
        <v>3900000</v>
      </c>
      <c r="K19" s="93"/>
      <c r="L19" s="134">
        <v>3900000</v>
      </c>
      <c r="M19" s="131"/>
    </row>
    <row r="20" spans="2:13" s="3" customFormat="1" ht="3.75" customHeight="1" x14ac:dyDescent="0.2">
      <c r="B20" s="13"/>
      <c r="C20" s="13"/>
      <c r="D20" s="132"/>
      <c r="E20" s="13"/>
      <c r="F20" s="13"/>
      <c r="G20" s="13"/>
      <c r="H20" s="11"/>
      <c r="I20" s="11"/>
      <c r="J20" s="11"/>
      <c r="K20" s="11"/>
      <c r="L20" s="11"/>
      <c r="M20" s="130"/>
    </row>
    <row r="21" spans="2:13" s="3" customFormat="1" ht="10.7" customHeight="1" x14ac:dyDescent="0.15">
      <c r="B21" s="12" t="s">
        <v>548</v>
      </c>
      <c r="C21" s="12"/>
      <c r="D21" s="22" t="s">
        <v>555</v>
      </c>
      <c r="E21" s="12" t="s">
        <v>569</v>
      </c>
      <c r="F21" s="12" t="s">
        <v>192</v>
      </c>
      <c r="G21" s="12" t="s">
        <v>193</v>
      </c>
      <c r="H21" s="15"/>
      <c r="I21" s="15"/>
      <c r="J21" s="10">
        <v>7200000</v>
      </c>
      <c r="K21" s="10"/>
      <c r="L21" s="10">
        <v>7200000</v>
      </c>
      <c r="M21" s="130"/>
    </row>
    <row r="22" spans="2:13" s="3" customFormat="1" ht="10.7" customHeight="1" x14ac:dyDescent="0.15">
      <c r="B22" s="127" t="s">
        <v>548</v>
      </c>
      <c r="C22" s="127"/>
      <c r="D22" s="128" t="s">
        <v>555</v>
      </c>
      <c r="E22" s="127" t="s">
        <v>570</v>
      </c>
      <c r="F22" s="127" t="s">
        <v>192</v>
      </c>
      <c r="G22" s="133"/>
      <c r="H22" s="20"/>
      <c r="I22" s="20"/>
      <c r="J22" s="129">
        <v>25000</v>
      </c>
      <c r="K22" s="129"/>
      <c r="L22" s="10">
        <v>25000</v>
      </c>
      <c r="M22" s="130"/>
    </row>
    <row r="23" spans="2:13" s="3" customFormat="1" ht="12.75" customHeight="1" x14ac:dyDescent="0.15">
      <c r="B23" s="259" t="s">
        <v>203</v>
      </c>
      <c r="C23" s="259"/>
      <c r="D23" s="259"/>
      <c r="E23" s="259"/>
      <c r="F23" s="259"/>
      <c r="G23" s="259"/>
      <c r="H23" s="93"/>
      <c r="I23" s="93"/>
      <c r="J23" s="93">
        <f>+J22+J21</f>
        <v>7225000</v>
      </c>
      <c r="K23" s="93"/>
      <c r="L23" s="134">
        <v>7225000</v>
      </c>
      <c r="M23" s="131"/>
    </row>
    <row r="24" spans="2:13" s="3" customFormat="1" ht="3.75" customHeight="1" x14ac:dyDescent="0.2">
      <c r="B24" s="13"/>
      <c r="C24" s="13"/>
      <c r="D24" s="132"/>
      <c r="E24" s="13"/>
      <c r="F24" s="13"/>
      <c r="G24" s="13"/>
      <c r="H24" s="11"/>
      <c r="I24" s="11"/>
      <c r="J24" s="11"/>
      <c r="K24" s="11"/>
      <c r="L24" s="11"/>
      <c r="M24" s="130"/>
    </row>
    <row r="25" spans="2:13" s="3" customFormat="1" ht="10.7" customHeight="1" x14ac:dyDescent="0.15">
      <c r="B25" s="12" t="s">
        <v>548</v>
      </c>
      <c r="C25" s="12"/>
      <c r="D25" s="22" t="s">
        <v>571</v>
      </c>
      <c r="E25" s="12" t="s">
        <v>572</v>
      </c>
      <c r="F25" s="12" t="s">
        <v>205</v>
      </c>
      <c r="G25" s="12" t="s">
        <v>206</v>
      </c>
      <c r="H25" s="15"/>
      <c r="I25" s="15"/>
      <c r="J25" s="10">
        <v>850000</v>
      </c>
      <c r="K25" s="10">
        <f t="shared" ref="K25:K33" si="0">+J25-L25</f>
        <v>0</v>
      </c>
      <c r="L25" s="10">
        <v>850000</v>
      </c>
      <c r="M25" s="130" t="s">
        <v>551</v>
      </c>
    </row>
    <row r="26" spans="2:13" s="3" customFormat="1" ht="10.7" customHeight="1" x14ac:dyDescent="0.15">
      <c r="B26" s="127" t="s">
        <v>548</v>
      </c>
      <c r="C26" s="127"/>
      <c r="D26" s="128" t="s">
        <v>571</v>
      </c>
      <c r="E26" s="127" t="s">
        <v>573</v>
      </c>
      <c r="F26" s="127" t="s">
        <v>205</v>
      </c>
      <c r="G26" s="133"/>
      <c r="H26" s="20"/>
      <c r="I26" s="20"/>
      <c r="J26" s="129">
        <v>20000000</v>
      </c>
      <c r="K26" s="129">
        <f t="shared" si="0"/>
        <v>0</v>
      </c>
      <c r="L26" s="10">
        <v>20000000</v>
      </c>
      <c r="M26" s="130" t="s">
        <v>551</v>
      </c>
    </row>
    <row r="27" spans="2:13" s="3" customFormat="1" ht="10.7" customHeight="1" x14ac:dyDescent="0.15">
      <c r="B27" s="12" t="s">
        <v>548</v>
      </c>
      <c r="C27" s="12"/>
      <c r="D27" s="22" t="s">
        <v>571</v>
      </c>
      <c r="E27" s="12" t="s">
        <v>574</v>
      </c>
      <c r="F27" s="12" t="s">
        <v>205</v>
      </c>
      <c r="G27" s="4"/>
      <c r="H27" s="15"/>
      <c r="I27" s="15"/>
      <c r="J27" s="10">
        <v>3500000</v>
      </c>
      <c r="K27" s="10">
        <f t="shared" si="0"/>
        <v>0</v>
      </c>
      <c r="L27" s="10">
        <v>3500000</v>
      </c>
      <c r="M27" s="130" t="s">
        <v>551</v>
      </c>
    </row>
    <row r="28" spans="2:13" s="3" customFormat="1" ht="10.7" customHeight="1" x14ac:dyDescent="0.15">
      <c r="B28" s="127" t="s">
        <v>548</v>
      </c>
      <c r="C28" s="127"/>
      <c r="D28" s="128" t="s">
        <v>563</v>
      </c>
      <c r="E28" s="127" t="s">
        <v>575</v>
      </c>
      <c r="F28" s="127" t="s">
        <v>205</v>
      </c>
      <c r="G28" s="133"/>
      <c r="H28" s="20"/>
      <c r="I28" s="20"/>
      <c r="J28" s="129">
        <v>300000</v>
      </c>
      <c r="K28" s="129">
        <f t="shared" si="0"/>
        <v>0</v>
      </c>
      <c r="L28" s="10">
        <v>300000</v>
      </c>
      <c r="M28" s="130" t="s">
        <v>551</v>
      </c>
    </row>
    <row r="29" spans="2:13" s="3" customFormat="1" ht="10.7" customHeight="1" x14ac:dyDescent="0.15">
      <c r="B29" s="12" t="s">
        <v>548</v>
      </c>
      <c r="C29" s="12"/>
      <c r="D29" s="22" t="s">
        <v>555</v>
      </c>
      <c r="E29" s="12" t="s">
        <v>576</v>
      </c>
      <c r="F29" s="12" t="s">
        <v>205</v>
      </c>
      <c r="G29" s="4"/>
      <c r="H29" s="15"/>
      <c r="I29" s="15"/>
      <c r="J29" s="10">
        <v>550000</v>
      </c>
      <c r="K29" s="10">
        <f t="shared" si="0"/>
        <v>454604.65</v>
      </c>
      <c r="L29" s="10">
        <v>95395.35</v>
      </c>
      <c r="M29" s="130"/>
    </row>
    <row r="30" spans="2:13" s="3" customFormat="1" ht="10.7" customHeight="1" x14ac:dyDescent="0.15">
      <c r="B30" s="127" t="s">
        <v>548</v>
      </c>
      <c r="C30" s="127"/>
      <c r="D30" s="128" t="s">
        <v>555</v>
      </c>
      <c r="E30" s="127" t="s">
        <v>577</v>
      </c>
      <c r="F30" s="127" t="s">
        <v>205</v>
      </c>
      <c r="G30" s="133"/>
      <c r="H30" s="20"/>
      <c r="I30" s="20"/>
      <c r="J30" s="129">
        <v>569100</v>
      </c>
      <c r="K30" s="129">
        <f t="shared" si="0"/>
        <v>339000</v>
      </c>
      <c r="L30" s="10">
        <v>230100</v>
      </c>
      <c r="M30" s="130"/>
    </row>
    <row r="31" spans="2:13" s="3" customFormat="1" ht="10.7" customHeight="1" x14ac:dyDescent="0.15">
      <c r="B31" s="12" t="s">
        <v>548</v>
      </c>
      <c r="C31" s="12"/>
      <c r="D31" s="22" t="s">
        <v>555</v>
      </c>
      <c r="E31" s="12" t="s">
        <v>578</v>
      </c>
      <c r="F31" s="12" t="s">
        <v>205</v>
      </c>
      <c r="G31" s="4"/>
      <c r="H31" s="15"/>
      <c r="I31" s="15"/>
      <c r="J31" s="10">
        <v>300000</v>
      </c>
      <c r="K31" s="10">
        <f t="shared" si="0"/>
        <v>0</v>
      </c>
      <c r="L31" s="10">
        <v>300000</v>
      </c>
      <c r="M31" s="130" t="s">
        <v>551</v>
      </c>
    </row>
    <row r="32" spans="2:13" s="3" customFormat="1" ht="10.7" customHeight="1" x14ac:dyDescent="0.15">
      <c r="B32" s="12" t="s">
        <v>548</v>
      </c>
      <c r="C32" s="12"/>
      <c r="D32" s="22" t="s">
        <v>555</v>
      </c>
      <c r="E32" s="12" t="s">
        <v>579</v>
      </c>
      <c r="F32" s="12" t="s">
        <v>205</v>
      </c>
      <c r="G32" s="4"/>
      <c r="H32" s="15">
        <v>400000</v>
      </c>
      <c r="I32" s="15"/>
      <c r="J32" s="10">
        <f>400000+H32</f>
        <v>800000</v>
      </c>
      <c r="K32" s="10">
        <f t="shared" si="0"/>
        <v>359209.72</v>
      </c>
      <c r="L32" s="10">
        <v>440790.28</v>
      </c>
      <c r="M32" s="130"/>
    </row>
    <row r="33" spans="2:13" s="3" customFormat="1" ht="10.7" customHeight="1" x14ac:dyDescent="0.15">
      <c r="B33" s="127" t="s">
        <v>548</v>
      </c>
      <c r="C33" s="127"/>
      <c r="D33" s="128" t="s">
        <v>555</v>
      </c>
      <c r="E33" s="127" t="s">
        <v>580</v>
      </c>
      <c r="F33" s="127" t="s">
        <v>205</v>
      </c>
      <c r="G33" s="133"/>
      <c r="H33" s="20"/>
      <c r="I33" s="20"/>
      <c r="J33" s="129">
        <v>84000</v>
      </c>
      <c r="K33" s="129">
        <f t="shared" si="0"/>
        <v>67229.56</v>
      </c>
      <c r="L33" s="10">
        <v>16770.439999999999</v>
      </c>
      <c r="M33" s="130"/>
    </row>
    <row r="34" spans="2:13" s="3" customFormat="1" ht="10.7" customHeight="1" x14ac:dyDescent="0.15">
      <c r="B34" s="12" t="s">
        <v>581</v>
      </c>
      <c r="C34" s="12" t="s">
        <v>582</v>
      </c>
      <c r="D34" s="22" t="s">
        <v>583</v>
      </c>
      <c r="E34" s="12" t="s">
        <v>584</v>
      </c>
      <c r="F34" s="12" t="s">
        <v>205</v>
      </c>
      <c r="G34" s="4"/>
      <c r="H34" s="15"/>
      <c r="I34" s="15">
        <v>850000</v>
      </c>
      <c r="J34" s="10">
        <v>51369088</v>
      </c>
      <c r="K34" s="10">
        <v>17084904.629999999</v>
      </c>
      <c r="L34" s="10">
        <v>34284183.369999997</v>
      </c>
      <c r="M34" s="130" t="s">
        <v>568</v>
      </c>
    </row>
    <row r="35" spans="2:13" s="3" customFormat="1" ht="12.75" customHeight="1" x14ac:dyDescent="0.15">
      <c r="B35" s="259" t="s">
        <v>246</v>
      </c>
      <c r="C35" s="259"/>
      <c r="D35" s="259"/>
      <c r="E35" s="259"/>
      <c r="F35" s="259"/>
      <c r="G35" s="259"/>
      <c r="H35" s="93"/>
      <c r="I35" s="93"/>
      <c r="J35" s="93">
        <f>SUM(J25:J34)</f>
        <v>78322188</v>
      </c>
      <c r="K35" s="93">
        <f>+K34+K33+K32+K31+K30+K29+K28+K27+K26+K25</f>
        <v>18304948.559999995</v>
      </c>
      <c r="L35" s="93">
        <v>60017239.439999998</v>
      </c>
      <c r="M35" s="131"/>
    </row>
    <row r="36" spans="2:13" s="3" customFormat="1" ht="3.75" customHeight="1" x14ac:dyDescent="0.2">
      <c r="B36" s="13"/>
      <c r="C36" s="13"/>
      <c r="D36" s="132"/>
      <c r="E36" s="13"/>
      <c r="F36" s="13"/>
      <c r="G36" s="13"/>
      <c r="H36" s="11"/>
      <c r="I36" s="11"/>
      <c r="J36" s="11"/>
      <c r="K36" s="11"/>
      <c r="L36" s="11"/>
      <c r="M36" s="130"/>
    </row>
    <row r="37" spans="2:13" s="3" customFormat="1" ht="10.7" customHeight="1" x14ac:dyDescent="0.15">
      <c r="B37" s="127" t="s">
        <v>581</v>
      </c>
      <c r="C37" s="127" t="s">
        <v>585</v>
      </c>
      <c r="D37" s="128" t="s">
        <v>583</v>
      </c>
      <c r="E37" s="127" t="s">
        <v>586</v>
      </c>
      <c r="F37" s="127" t="s">
        <v>247</v>
      </c>
      <c r="G37" s="127" t="s">
        <v>248</v>
      </c>
      <c r="H37" s="20">
        <v>500000</v>
      </c>
      <c r="I37" s="20"/>
      <c r="J37" s="129">
        <v>500000</v>
      </c>
      <c r="K37" s="129">
        <v>497200</v>
      </c>
      <c r="L37" s="10">
        <v>2800</v>
      </c>
      <c r="M37" s="130">
        <v>6203</v>
      </c>
    </row>
    <row r="38" spans="2:13" s="3" customFormat="1" ht="12.75" customHeight="1" x14ac:dyDescent="0.15">
      <c r="B38" s="259" t="s">
        <v>262</v>
      </c>
      <c r="C38" s="259"/>
      <c r="D38" s="259"/>
      <c r="E38" s="259"/>
      <c r="F38" s="259"/>
      <c r="G38" s="259"/>
      <c r="H38" s="93"/>
      <c r="I38" s="93"/>
      <c r="J38" s="93">
        <f>+J37</f>
        <v>500000</v>
      </c>
      <c r="K38" s="93">
        <f>+K37</f>
        <v>497200</v>
      </c>
      <c r="L38" s="93">
        <v>2800</v>
      </c>
      <c r="M38" s="131"/>
    </row>
    <row r="39" spans="2:13" s="3" customFormat="1" ht="3.75" customHeight="1" x14ac:dyDescent="0.2">
      <c r="B39" s="13"/>
      <c r="C39" s="13"/>
      <c r="D39" s="132"/>
      <c r="E39" s="13"/>
      <c r="F39" s="13"/>
      <c r="G39" s="13"/>
      <c r="H39" s="11"/>
      <c r="I39" s="11"/>
      <c r="J39" s="11"/>
      <c r="K39" s="11"/>
      <c r="L39" s="11"/>
      <c r="M39" s="130"/>
    </row>
    <row r="40" spans="2:13" s="3" customFormat="1" ht="10.7" customHeight="1" x14ac:dyDescent="0.15">
      <c r="B40" s="12" t="s">
        <v>548</v>
      </c>
      <c r="C40" s="12"/>
      <c r="D40" s="22" t="s">
        <v>587</v>
      </c>
      <c r="E40" s="12" t="s">
        <v>588</v>
      </c>
      <c r="F40" s="12" t="s">
        <v>263</v>
      </c>
      <c r="G40" s="12" t="s">
        <v>264</v>
      </c>
      <c r="H40" s="15"/>
      <c r="I40" s="15"/>
      <c r="J40" s="10">
        <v>2200000</v>
      </c>
      <c r="K40" s="10"/>
      <c r="L40" s="10">
        <v>2200000</v>
      </c>
      <c r="M40" s="130" t="s">
        <v>551</v>
      </c>
    </row>
    <row r="41" spans="2:13" s="3" customFormat="1" ht="10.7" customHeight="1" x14ac:dyDescent="0.15">
      <c r="B41" s="127" t="s">
        <v>548</v>
      </c>
      <c r="C41" s="127"/>
      <c r="D41" s="128" t="s">
        <v>555</v>
      </c>
      <c r="E41" s="127" t="s">
        <v>589</v>
      </c>
      <c r="F41" s="127" t="s">
        <v>263</v>
      </c>
      <c r="G41" s="133"/>
      <c r="H41" s="20"/>
      <c r="I41" s="20"/>
      <c r="J41" s="129">
        <v>140120000</v>
      </c>
      <c r="K41" s="129"/>
      <c r="L41" s="10">
        <v>65671.289999991699</v>
      </c>
      <c r="M41" s="130" t="s">
        <v>551</v>
      </c>
    </row>
    <row r="42" spans="2:13" s="3" customFormat="1" ht="10.7" customHeight="1" x14ac:dyDescent="0.15">
      <c r="B42" s="12" t="s">
        <v>581</v>
      </c>
      <c r="C42" s="12" t="s">
        <v>585</v>
      </c>
      <c r="D42" s="22" t="s">
        <v>583</v>
      </c>
      <c r="E42" s="12" t="s">
        <v>590</v>
      </c>
      <c r="F42" s="12" t="s">
        <v>263</v>
      </c>
      <c r="G42" s="4"/>
      <c r="H42" s="15">
        <v>200000</v>
      </c>
      <c r="I42" s="15">
        <v>50000</v>
      </c>
      <c r="J42" s="10">
        <v>150000</v>
      </c>
      <c r="K42" s="10">
        <v>126560</v>
      </c>
      <c r="L42" s="10">
        <v>23440</v>
      </c>
      <c r="M42" s="130" t="s">
        <v>591</v>
      </c>
    </row>
    <row r="43" spans="2:13" s="3" customFormat="1" ht="12.75" customHeight="1" x14ac:dyDescent="0.15">
      <c r="B43" s="259" t="s">
        <v>278</v>
      </c>
      <c r="C43" s="259"/>
      <c r="D43" s="259"/>
      <c r="E43" s="259"/>
      <c r="F43" s="259"/>
      <c r="G43" s="259"/>
      <c r="H43" s="93"/>
      <c r="I43" s="93"/>
      <c r="J43" s="93">
        <f>SUM(J40:J42)</f>
        <v>142470000</v>
      </c>
      <c r="K43" s="93">
        <f>+K42+K41+K40</f>
        <v>126560</v>
      </c>
      <c r="L43" s="93">
        <v>2289111.2899999898</v>
      </c>
      <c r="M43" s="131"/>
    </row>
    <row r="44" spans="2:13" s="3" customFormat="1" ht="3.75" customHeight="1" x14ac:dyDescent="0.2">
      <c r="B44" s="13"/>
      <c r="C44" s="13"/>
      <c r="D44" s="132"/>
      <c r="E44" s="13"/>
      <c r="F44" s="13"/>
      <c r="G44" s="13"/>
      <c r="H44" s="11"/>
      <c r="I44" s="11"/>
      <c r="J44" s="11"/>
      <c r="K44" s="11"/>
      <c r="L44" s="11"/>
      <c r="M44" s="130"/>
    </row>
    <row r="45" spans="2:13" s="3" customFormat="1" ht="10.7" customHeight="1" x14ac:dyDescent="0.15">
      <c r="B45" s="127" t="s">
        <v>548</v>
      </c>
      <c r="C45" s="127"/>
      <c r="D45" s="128" t="s">
        <v>587</v>
      </c>
      <c r="E45" s="127" t="s">
        <v>588</v>
      </c>
      <c r="F45" s="127" t="s">
        <v>282</v>
      </c>
      <c r="G45" s="127" t="s">
        <v>283</v>
      </c>
      <c r="H45" s="20"/>
      <c r="I45" s="20"/>
      <c r="J45" s="129">
        <v>2400000</v>
      </c>
      <c r="K45" s="129">
        <f>+J45-L45</f>
        <v>0</v>
      </c>
      <c r="L45" s="10">
        <v>2400000</v>
      </c>
      <c r="M45" s="130" t="s">
        <v>551</v>
      </c>
    </row>
    <row r="46" spans="2:13" s="3" customFormat="1" ht="10.7" customHeight="1" x14ac:dyDescent="0.15">
      <c r="B46" s="12" t="s">
        <v>548</v>
      </c>
      <c r="C46" s="12"/>
      <c r="D46" s="22" t="s">
        <v>555</v>
      </c>
      <c r="E46" s="12" t="s">
        <v>589</v>
      </c>
      <c r="F46" s="12" t="s">
        <v>282</v>
      </c>
      <c r="G46" s="4"/>
      <c r="H46" s="15"/>
      <c r="I46" s="15"/>
      <c r="J46" s="10">
        <v>82338000</v>
      </c>
      <c r="K46" s="10">
        <f>+J46-L46</f>
        <v>82337828.549999997</v>
      </c>
      <c r="L46" s="10">
        <v>171.45000000298</v>
      </c>
      <c r="M46" s="130"/>
    </row>
    <row r="47" spans="2:13" s="3" customFormat="1" ht="12.75" customHeight="1" x14ac:dyDescent="0.15">
      <c r="B47" s="259" t="s">
        <v>286</v>
      </c>
      <c r="C47" s="259"/>
      <c r="D47" s="259"/>
      <c r="E47" s="259"/>
      <c r="F47" s="259"/>
      <c r="G47" s="259"/>
      <c r="H47" s="93"/>
      <c r="I47" s="93"/>
      <c r="J47" s="93">
        <f>SUM(J45:J46)</f>
        <v>84738000</v>
      </c>
      <c r="K47" s="93">
        <f>+K46+K45</f>
        <v>82337828.549999997</v>
      </c>
      <c r="L47" s="134">
        <v>2400171.4500000002</v>
      </c>
      <c r="M47" s="131"/>
    </row>
    <row r="48" spans="2:13" s="3" customFormat="1" ht="3.75" customHeight="1" x14ac:dyDescent="0.2">
      <c r="B48" s="13"/>
      <c r="C48" s="13"/>
      <c r="D48" s="132"/>
      <c r="E48" s="13"/>
      <c r="F48" s="13"/>
      <c r="G48" s="13"/>
      <c r="H48" s="11"/>
      <c r="I48" s="11"/>
      <c r="J48" s="11"/>
      <c r="K48" s="11"/>
      <c r="L48" s="11"/>
      <c r="M48" s="130"/>
    </row>
    <row r="49" spans="2:13" s="3" customFormat="1" ht="10.7" customHeight="1" x14ac:dyDescent="0.15">
      <c r="B49" s="127" t="s">
        <v>548</v>
      </c>
      <c r="C49" s="127"/>
      <c r="D49" s="128" t="s">
        <v>587</v>
      </c>
      <c r="E49" s="127" t="s">
        <v>588</v>
      </c>
      <c r="F49" s="127" t="s">
        <v>287</v>
      </c>
      <c r="G49" s="127" t="s">
        <v>288</v>
      </c>
      <c r="H49" s="20"/>
      <c r="I49" s="20"/>
      <c r="J49" s="129">
        <v>2200000</v>
      </c>
      <c r="K49" s="129"/>
      <c r="L49" s="10">
        <v>2200000</v>
      </c>
      <c r="M49" s="130" t="s">
        <v>551</v>
      </c>
    </row>
    <row r="50" spans="2:13" s="3" customFormat="1" ht="10.7" customHeight="1" x14ac:dyDescent="0.15">
      <c r="B50" s="12" t="s">
        <v>548</v>
      </c>
      <c r="C50" s="12"/>
      <c r="D50" s="22" t="s">
        <v>555</v>
      </c>
      <c r="E50" s="12" t="s">
        <v>589</v>
      </c>
      <c r="F50" s="12" t="s">
        <v>287</v>
      </c>
      <c r="G50" s="4"/>
      <c r="H50" s="15"/>
      <c r="I50" s="15"/>
      <c r="J50" s="10">
        <v>102542000</v>
      </c>
      <c r="K50" s="10">
        <f>+J50-L50</f>
        <v>102541442.27</v>
      </c>
      <c r="L50" s="10">
        <v>557.73000000417198</v>
      </c>
      <c r="M50" s="130"/>
    </row>
    <row r="51" spans="2:13" s="3" customFormat="1" ht="10.7" customHeight="1" x14ac:dyDescent="0.15">
      <c r="B51" s="127" t="s">
        <v>581</v>
      </c>
      <c r="C51" s="127" t="s">
        <v>585</v>
      </c>
      <c r="D51" s="128" t="s">
        <v>583</v>
      </c>
      <c r="E51" s="127" t="s">
        <v>592</v>
      </c>
      <c r="F51" s="127" t="s">
        <v>287</v>
      </c>
      <c r="G51" s="133"/>
      <c r="H51" s="20">
        <f>150000+50000</f>
        <v>200000</v>
      </c>
      <c r="I51" s="20"/>
      <c r="J51" s="129">
        <v>200000</v>
      </c>
      <c r="K51" s="129">
        <v>186450</v>
      </c>
      <c r="L51" s="10">
        <f>+J51-K51</f>
        <v>13550</v>
      </c>
      <c r="M51" s="130"/>
    </row>
    <row r="52" spans="2:13" s="3" customFormat="1" ht="12.75" customHeight="1" x14ac:dyDescent="0.15">
      <c r="B52" s="259" t="s">
        <v>289</v>
      </c>
      <c r="C52" s="259"/>
      <c r="D52" s="259"/>
      <c r="E52" s="259"/>
      <c r="F52" s="259"/>
      <c r="G52" s="259"/>
      <c r="H52" s="93"/>
      <c r="I52" s="93"/>
      <c r="J52" s="93">
        <f>SUM(J49:J51)</f>
        <v>104942000</v>
      </c>
      <c r="K52" s="93">
        <f>SUM(K49:K51)</f>
        <v>102727892.27</v>
      </c>
      <c r="L52" s="93">
        <f>SUM(L49:L51)</f>
        <v>2214107.7300000042</v>
      </c>
      <c r="M52" s="131"/>
    </row>
    <row r="53" spans="2:13" s="3" customFormat="1" ht="3.75" customHeight="1" x14ac:dyDescent="0.2">
      <c r="B53" s="13"/>
      <c r="C53" s="13"/>
      <c r="D53" s="132"/>
      <c r="E53" s="13"/>
      <c r="F53" s="13"/>
      <c r="G53" s="13"/>
      <c r="H53" s="11"/>
      <c r="I53" s="11"/>
      <c r="J53" s="11"/>
      <c r="K53" s="11"/>
      <c r="L53" s="11"/>
      <c r="M53" s="130"/>
    </row>
    <row r="54" spans="2:13" s="3" customFormat="1" ht="10.7" customHeight="1" x14ac:dyDescent="0.15">
      <c r="B54" s="12" t="s">
        <v>548</v>
      </c>
      <c r="C54" s="12"/>
      <c r="D54" s="22" t="s">
        <v>555</v>
      </c>
      <c r="E54" s="12" t="s">
        <v>593</v>
      </c>
      <c r="F54" s="12" t="s">
        <v>594</v>
      </c>
      <c r="G54" s="12" t="s">
        <v>595</v>
      </c>
      <c r="H54" s="15"/>
      <c r="I54" s="15"/>
      <c r="J54" s="10">
        <v>400000</v>
      </c>
      <c r="K54" s="10"/>
      <c r="L54" s="10">
        <v>400000</v>
      </c>
      <c r="M54" s="130"/>
    </row>
    <row r="55" spans="2:13" s="3" customFormat="1" ht="12.75" customHeight="1" x14ac:dyDescent="0.15">
      <c r="B55" s="259" t="s">
        <v>596</v>
      </c>
      <c r="C55" s="259"/>
      <c r="D55" s="259"/>
      <c r="E55" s="259"/>
      <c r="F55" s="259"/>
      <c r="G55" s="259"/>
      <c r="H55" s="93"/>
      <c r="I55" s="93"/>
      <c r="J55" s="93">
        <f>+J54</f>
        <v>400000</v>
      </c>
      <c r="K55" s="93"/>
      <c r="L55" s="134">
        <v>400000</v>
      </c>
      <c r="M55" s="131"/>
    </row>
    <row r="56" spans="2:13" s="3" customFormat="1" ht="3.75" customHeight="1" x14ac:dyDescent="0.2">
      <c r="B56" s="13"/>
      <c r="C56" s="13"/>
      <c r="D56" s="132"/>
      <c r="E56" s="13"/>
      <c r="F56" s="13"/>
      <c r="G56" s="13"/>
      <c r="H56" s="11"/>
      <c r="I56" s="11"/>
      <c r="J56" s="11"/>
      <c r="K56" s="11"/>
      <c r="L56" s="11"/>
      <c r="M56" s="130"/>
    </row>
    <row r="57" spans="2:13" s="9" customFormat="1" ht="10.7" customHeight="1" x14ac:dyDescent="0.15">
      <c r="B57" s="8" t="s">
        <v>548</v>
      </c>
      <c r="C57" s="8"/>
      <c r="D57" s="135" t="s">
        <v>555</v>
      </c>
      <c r="E57" s="8" t="s">
        <v>597</v>
      </c>
      <c r="F57" s="8" t="s">
        <v>290</v>
      </c>
      <c r="G57" s="8" t="s">
        <v>465</v>
      </c>
      <c r="H57" s="18"/>
      <c r="I57" s="18"/>
      <c r="J57" s="51">
        <v>0</v>
      </c>
      <c r="K57" s="51"/>
      <c r="L57" s="51">
        <v>0</v>
      </c>
      <c r="M57" s="136"/>
    </row>
    <row r="58" spans="2:13" s="9" customFormat="1" ht="10.7" customHeight="1" x14ac:dyDescent="0.15">
      <c r="B58" s="8" t="s">
        <v>581</v>
      </c>
      <c r="C58" s="8" t="s">
        <v>598</v>
      </c>
      <c r="D58" s="135" t="s">
        <v>599</v>
      </c>
      <c r="E58" s="8" t="s">
        <v>600</v>
      </c>
      <c r="F58" s="8" t="s">
        <v>290</v>
      </c>
      <c r="G58" s="42"/>
      <c r="H58" s="18"/>
      <c r="I58" s="18"/>
      <c r="J58" s="51">
        <v>0</v>
      </c>
      <c r="K58" s="51"/>
      <c r="L58" s="51">
        <v>0</v>
      </c>
      <c r="M58" s="136"/>
    </row>
    <row r="59" spans="2:13" s="9" customFormat="1" ht="10.7" customHeight="1" x14ac:dyDescent="0.15">
      <c r="B59" s="8" t="s">
        <v>601</v>
      </c>
      <c r="C59" s="8"/>
      <c r="D59" s="135" t="s">
        <v>602</v>
      </c>
      <c r="E59" s="8" t="s">
        <v>603</v>
      </c>
      <c r="F59" s="8" t="s">
        <v>290</v>
      </c>
      <c r="G59" s="42"/>
      <c r="H59" s="18"/>
      <c r="I59" s="18"/>
      <c r="J59" s="51">
        <v>112951661</v>
      </c>
      <c r="K59" s="51"/>
      <c r="L59" s="51">
        <v>112951661</v>
      </c>
      <c r="M59" s="136"/>
    </row>
    <row r="60" spans="2:13" s="9" customFormat="1" ht="10.7" customHeight="1" x14ac:dyDescent="0.15">
      <c r="B60" s="8" t="s">
        <v>601</v>
      </c>
      <c r="C60" s="8"/>
      <c r="D60" s="135" t="s">
        <v>602</v>
      </c>
      <c r="E60" s="8" t="s">
        <v>603</v>
      </c>
      <c r="F60" s="8" t="s">
        <v>290</v>
      </c>
      <c r="G60" s="42"/>
      <c r="H60" s="18"/>
      <c r="I60" s="18"/>
      <c r="J60" s="51">
        <v>1779502241</v>
      </c>
      <c r="K60" s="51"/>
      <c r="L60" s="51">
        <v>1779502241</v>
      </c>
      <c r="M60" s="136"/>
    </row>
    <row r="61" spans="2:13" s="3" customFormat="1" ht="12.75" customHeight="1" x14ac:dyDescent="0.15">
      <c r="B61" s="259" t="s">
        <v>291</v>
      </c>
      <c r="C61" s="259"/>
      <c r="D61" s="259"/>
      <c r="E61" s="259"/>
      <c r="F61" s="259"/>
      <c r="G61" s="259"/>
      <c r="H61" s="93"/>
      <c r="I61" s="93"/>
      <c r="J61" s="93">
        <f>SUM(J57:J60)</f>
        <v>1892453902</v>
      </c>
      <c r="K61" s="93">
        <f>+K60+K59+K58+K57</f>
        <v>0</v>
      </c>
      <c r="L61" s="134">
        <f>SUM(L57:L60)</f>
        <v>1892453902</v>
      </c>
      <c r="M61" s="131"/>
    </row>
    <row r="62" spans="2:13" s="3" customFormat="1" ht="3.75" customHeight="1" x14ac:dyDescent="0.2">
      <c r="B62" s="13"/>
      <c r="C62" s="13"/>
      <c r="D62" s="132"/>
      <c r="E62" s="13"/>
      <c r="F62" s="13"/>
      <c r="G62" s="13"/>
      <c r="H62" s="11"/>
      <c r="I62" s="11"/>
      <c r="J62" s="11"/>
      <c r="K62" s="11"/>
      <c r="L62" s="11"/>
      <c r="M62" s="130"/>
    </row>
    <row r="63" spans="2:13" s="3" customFormat="1" ht="10.7" customHeight="1" x14ac:dyDescent="0.15">
      <c r="B63" s="127" t="s">
        <v>581</v>
      </c>
      <c r="C63" s="127" t="s">
        <v>598</v>
      </c>
      <c r="D63" s="128" t="s">
        <v>599</v>
      </c>
      <c r="E63" s="127" t="s">
        <v>604</v>
      </c>
      <c r="F63" s="127" t="s">
        <v>296</v>
      </c>
      <c r="G63" s="127" t="s">
        <v>502</v>
      </c>
      <c r="H63" s="20"/>
      <c r="I63" s="20"/>
      <c r="J63" s="129">
        <v>91350000</v>
      </c>
      <c r="K63" s="129"/>
      <c r="L63" s="10">
        <v>1554967.89</v>
      </c>
      <c r="M63" s="130" t="s">
        <v>551</v>
      </c>
    </row>
    <row r="64" spans="2:13" s="3" customFormat="1" ht="10.7" customHeight="1" x14ac:dyDescent="0.15">
      <c r="B64" s="12" t="s">
        <v>581</v>
      </c>
      <c r="C64" s="12" t="s">
        <v>598</v>
      </c>
      <c r="D64" s="22" t="s">
        <v>599</v>
      </c>
      <c r="E64" s="12" t="s">
        <v>605</v>
      </c>
      <c r="F64" s="12" t="s">
        <v>296</v>
      </c>
      <c r="G64" s="4"/>
      <c r="H64" s="15">
        <v>102000000</v>
      </c>
      <c r="I64" s="15"/>
      <c r="J64" s="10">
        <f>110000000+H64</f>
        <v>212000000</v>
      </c>
      <c r="K64" s="10">
        <f>+J64-L64</f>
        <v>212000000</v>
      </c>
      <c r="L64" s="10">
        <v>0</v>
      </c>
      <c r="M64" s="130" t="s">
        <v>410</v>
      </c>
    </row>
    <row r="65" spans="2:13" s="3" customFormat="1" ht="10.7" customHeight="1" x14ac:dyDescent="0.15">
      <c r="B65" s="127" t="s">
        <v>581</v>
      </c>
      <c r="C65" s="127" t="s">
        <v>598</v>
      </c>
      <c r="D65" s="128" t="s">
        <v>599</v>
      </c>
      <c r="E65" s="127" t="s">
        <v>600</v>
      </c>
      <c r="F65" s="127" t="s">
        <v>296</v>
      </c>
      <c r="G65" s="133"/>
      <c r="H65" s="20"/>
      <c r="I65" s="20">
        <v>102000000</v>
      </c>
      <c r="J65" s="129">
        <v>2552800998</v>
      </c>
      <c r="K65" s="129"/>
      <c r="L65" s="10">
        <v>2552800998</v>
      </c>
      <c r="M65" s="130" t="s">
        <v>606</v>
      </c>
    </row>
    <row r="66" spans="2:13" s="3" customFormat="1" ht="10.7" customHeight="1" x14ac:dyDescent="0.15">
      <c r="B66" s="12" t="s">
        <v>581</v>
      </c>
      <c r="C66" s="12" t="s">
        <v>598</v>
      </c>
      <c r="D66" s="22" t="s">
        <v>599</v>
      </c>
      <c r="E66" s="12" t="s">
        <v>607</v>
      </c>
      <c r="F66" s="12" t="s">
        <v>296</v>
      </c>
      <c r="G66" s="4"/>
      <c r="H66" s="15"/>
      <c r="I66" s="15"/>
      <c r="J66" s="10">
        <v>15000000</v>
      </c>
      <c r="K66" s="10"/>
      <c r="L66" s="10">
        <v>15000000</v>
      </c>
      <c r="M66" s="130" t="s">
        <v>551</v>
      </c>
    </row>
    <row r="67" spans="2:13" s="3" customFormat="1" ht="12.75" customHeight="1" x14ac:dyDescent="0.15">
      <c r="B67" s="259" t="s">
        <v>297</v>
      </c>
      <c r="C67" s="259"/>
      <c r="D67" s="259"/>
      <c r="E67" s="259"/>
      <c r="F67" s="259"/>
      <c r="G67" s="259"/>
      <c r="H67" s="93"/>
      <c r="I67" s="93"/>
      <c r="J67" s="93">
        <f>SUM(J63:J66)</f>
        <v>2871150998</v>
      </c>
      <c r="K67" s="93">
        <f>SUM(K63:K66)</f>
        <v>212000000</v>
      </c>
      <c r="L67" s="134">
        <f>SUM(L63:L66)</f>
        <v>2569355965.8899999</v>
      </c>
      <c r="M67" s="131"/>
    </row>
    <row r="68" spans="2:13" s="3" customFormat="1" ht="3.75" customHeight="1" x14ac:dyDescent="0.2">
      <c r="B68" s="13"/>
      <c r="C68" s="13"/>
      <c r="D68" s="132"/>
      <c r="E68" s="13"/>
      <c r="F68" s="13"/>
      <c r="G68" s="13"/>
      <c r="H68" s="11"/>
      <c r="I68" s="11"/>
      <c r="J68" s="11"/>
      <c r="K68" s="11"/>
      <c r="L68" s="11"/>
      <c r="M68" s="130"/>
    </row>
    <row r="69" spans="2:13" s="3" customFormat="1" ht="10.7" customHeight="1" x14ac:dyDescent="0.15">
      <c r="B69" s="127" t="s">
        <v>581</v>
      </c>
      <c r="C69" s="127" t="s">
        <v>582</v>
      </c>
      <c r="D69" s="128" t="s">
        <v>583</v>
      </c>
      <c r="E69" s="127" t="s">
        <v>608</v>
      </c>
      <c r="F69" s="127" t="s">
        <v>299</v>
      </c>
      <c r="G69" s="127" t="s">
        <v>300</v>
      </c>
      <c r="H69" s="20"/>
      <c r="I69" s="20"/>
      <c r="J69" s="129">
        <v>880000000</v>
      </c>
      <c r="K69" s="129">
        <f>+J69-L69</f>
        <v>830000000</v>
      </c>
      <c r="L69" s="10">
        <v>50000000</v>
      </c>
      <c r="M69" s="130">
        <v>6071</v>
      </c>
    </row>
    <row r="70" spans="2:13" s="3" customFormat="1" ht="12.75" customHeight="1" x14ac:dyDescent="0.15">
      <c r="B70" s="259" t="s">
        <v>301</v>
      </c>
      <c r="C70" s="259"/>
      <c r="D70" s="259"/>
      <c r="E70" s="259"/>
      <c r="F70" s="259"/>
      <c r="G70" s="259"/>
      <c r="H70" s="93"/>
      <c r="I70" s="93"/>
      <c r="J70" s="93">
        <f>SUM(J69)</f>
        <v>880000000</v>
      </c>
      <c r="K70" s="93">
        <f>SUM(K69)</f>
        <v>830000000</v>
      </c>
      <c r="L70" s="93">
        <v>50000000</v>
      </c>
      <c r="M70" s="131"/>
    </row>
    <row r="71" spans="2:13" s="3" customFormat="1" ht="3.75" customHeight="1" x14ac:dyDescent="0.2">
      <c r="B71" s="13"/>
      <c r="C71" s="13"/>
      <c r="D71" s="132"/>
      <c r="E71" s="13"/>
      <c r="F71" s="13"/>
      <c r="G71" s="13"/>
      <c r="H71" s="11"/>
      <c r="I71" s="11"/>
      <c r="J71" s="11"/>
      <c r="K71" s="11"/>
      <c r="L71" s="11"/>
      <c r="M71" s="130"/>
    </row>
    <row r="72" spans="2:13" s="3" customFormat="1" ht="10.7" customHeight="1" x14ac:dyDescent="0.15">
      <c r="B72" s="12" t="s">
        <v>548</v>
      </c>
      <c r="C72" s="12"/>
      <c r="D72" s="22" t="s">
        <v>555</v>
      </c>
      <c r="E72" s="12" t="s">
        <v>579</v>
      </c>
      <c r="F72" s="12" t="s">
        <v>304</v>
      </c>
      <c r="G72" s="12" t="s">
        <v>305</v>
      </c>
      <c r="H72" s="15"/>
      <c r="I72" s="15"/>
      <c r="J72" s="10">
        <v>355000</v>
      </c>
      <c r="K72" s="10"/>
      <c r="L72" s="10">
        <v>355000</v>
      </c>
      <c r="M72" s="130"/>
    </row>
    <row r="73" spans="2:13" s="3" customFormat="1" ht="12.75" customHeight="1" x14ac:dyDescent="0.15">
      <c r="B73" s="259" t="s">
        <v>306</v>
      </c>
      <c r="C73" s="259"/>
      <c r="D73" s="259"/>
      <c r="E73" s="259"/>
      <c r="F73" s="259"/>
      <c r="G73" s="259"/>
      <c r="H73" s="93"/>
      <c r="I73" s="93"/>
      <c r="J73" s="93">
        <f>+J72</f>
        <v>355000</v>
      </c>
      <c r="K73" s="93"/>
      <c r="L73" s="134">
        <v>355000</v>
      </c>
      <c r="M73" s="131"/>
    </row>
    <row r="74" spans="2:13" s="3" customFormat="1" ht="3.75" customHeight="1" x14ac:dyDescent="0.2">
      <c r="B74" s="13"/>
      <c r="C74" s="13"/>
      <c r="D74" s="132"/>
      <c r="E74" s="13"/>
      <c r="F74" s="13"/>
      <c r="G74" s="13"/>
      <c r="H74" s="11"/>
      <c r="I74" s="11"/>
      <c r="J74" s="11"/>
      <c r="K74" s="11"/>
      <c r="L74" s="11"/>
      <c r="M74" s="130"/>
    </row>
    <row r="75" spans="2:13" s="3" customFormat="1" ht="10.7" customHeight="1" x14ac:dyDescent="0.15">
      <c r="B75" s="127" t="s">
        <v>548</v>
      </c>
      <c r="C75" s="127"/>
      <c r="D75" s="128" t="s">
        <v>555</v>
      </c>
      <c r="E75" s="127" t="s">
        <v>609</v>
      </c>
      <c r="F75" s="127" t="s">
        <v>318</v>
      </c>
      <c r="G75" s="127" t="s">
        <v>319</v>
      </c>
      <c r="H75" s="20"/>
      <c r="I75" s="20"/>
      <c r="J75" s="129">
        <v>100000</v>
      </c>
      <c r="K75" s="129"/>
      <c r="L75" s="10">
        <v>100000</v>
      </c>
      <c r="M75" s="130"/>
    </row>
    <row r="76" spans="2:13" s="3" customFormat="1" ht="12.75" customHeight="1" x14ac:dyDescent="0.15">
      <c r="B76" s="259" t="s">
        <v>320</v>
      </c>
      <c r="C76" s="259"/>
      <c r="D76" s="259"/>
      <c r="E76" s="259"/>
      <c r="F76" s="259"/>
      <c r="G76" s="259"/>
      <c r="H76" s="93"/>
      <c r="I76" s="93"/>
      <c r="J76" s="93">
        <f>+J75</f>
        <v>100000</v>
      </c>
      <c r="K76" s="93"/>
      <c r="L76" s="134">
        <v>100000</v>
      </c>
      <c r="M76" s="131"/>
    </row>
    <row r="77" spans="2:13" s="3" customFormat="1" ht="3.75" customHeight="1" x14ac:dyDescent="0.2">
      <c r="B77" s="13"/>
      <c r="C77" s="13"/>
      <c r="D77" s="132"/>
      <c r="E77" s="13"/>
      <c r="F77" s="13"/>
      <c r="G77" s="13"/>
      <c r="H77" s="11"/>
      <c r="I77" s="11"/>
      <c r="J77" s="11"/>
      <c r="K77" s="11"/>
      <c r="L77" s="11"/>
      <c r="M77" s="130"/>
    </row>
    <row r="78" spans="2:13" s="3" customFormat="1" ht="10.7" customHeight="1" x14ac:dyDescent="0.15">
      <c r="B78" s="12" t="s">
        <v>548</v>
      </c>
      <c r="C78" s="12"/>
      <c r="D78" s="22" t="s">
        <v>560</v>
      </c>
      <c r="E78" s="12" t="s">
        <v>610</v>
      </c>
      <c r="F78" s="12" t="s">
        <v>322</v>
      </c>
      <c r="G78" s="12" t="s">
        <v>323</v>
      </c>
      <c r="H78" s="15"/>
      <c r="I78" s="15"/>
      <c r="J78" s="10">
        <v>324000</v>
      </c>
      <c r="K78" s="10"/>
      <c r="L78" s="10">
        <v>324000</v>
      </c>
      <c r="M78" s="130"/>
    </row>
    <row r="79" spans="2:13" s="3" customFormat="1" ht="10.7" customHeight="1" x14ac:dyDescent="0.15">
      <c r="B79" s="127" t="s">
        <v>548</v>
      </c>
      <c r="C79" s="127"/>
      <c r="D79" s="128" t="s">
        <v>587</v>
      </c>
      <c r="E79" s="127" t="s">
        <v>611</v>
      </c>
      <c r="F79" s="127" t="s">
        <v>322</v>
      </c>
      <c r="G79" s="133"/>
      <c r="H79" s="20"/>
      <c r="I79" s="20"/>
      <c r="J79" s="129">
        <v>1100000</v>
      </c>
      <c r="K79" s="129"/>
      <c r="L79" s="10">
        <v>1100000</v>
      </c>
      <c r="M79" s="130"/>
    </row>
    <row r="80" spans="2:13" s="3" customFormat="1" ht="12.75" customHeight="1" x14ac:dyDescent="0.15">
      <c r="B80" s="259" t="s">
        <v>326</v>
      </c>
      <c r="C80" s="259"/>
      <c r="D80" s="259"/>
      <c r="E80" s="259"/>
      <c r="F80" s="259"/>
      <c r="G80" s="259"/>
      <c r="H80" s="93"/>
      <c r="I80" s="93"/>
      <c r="J80" s="93">
        <f>+J79+J78</f>
        <v>1424000</v>
      </c>
      <c r="K80" s="93"/>
      <c r="L80" s="134">
        <v>1424000</v>
      </c>
      <c r="M80" s="131"/>
    </row>
    <row r="81" spans="2:13" s="3" customFormat="1" ht="3.75" customHeight="1" x14ac:dyDescent="0.2">
      <c r="B81" s="13"/>
      <c r="C81" s="13"/>
      <c r="D81" s="132"/>
      <c r="E81" s="13"/>
      <c r="F81" s="13"/>
      <c r="G81" s="13"/>
      <c r="H81" s="11"/>
      <c r="I81" s="11"/>
      <c r="J81" s="11"/>
      <c r="K81" s="11"/>
      <c r="L81" s="11"/>
      <c r="M81" s="130"/>
    </row>
    <row r="82" spans="2:13" s="3" customFormat="1" ht="10.7" customHeight="1" x14ac:dyDescent="0.15">
      <c r="B82" s="12" t="s">
        <v>548</v>
      </c>
      <c r="C82" s="12"/>
      <c r="D82" s="22" t="s">
        <v>555</v>
      </c>
      <c r="E82" s="12" t="s">
        <v>593</v>
      </c>
      <c r="F82" s="12" t="s">
        <v>328</v>
      </c>
      <c r="G82" s="12" t="s">
        <v>612</v>
      </c>
      <c r="H82" s="15"/>
      <c r="I82" s="15"/>
      <c r="J82" s="10">
        <v>800000</v>
      </c>
      <c r="K82" s="10"/>
      <c r="L82" s="10">
        <v>800000</v>
      </c>
      <c r="M82" s="130"/>
    </row>
    <row r="83" spans="2:13" s="3" customFormat="1" ht="12.75" customHeight="1" x14ac:dyDescent="0.15">
      <c r="B83" s="259" t="s">
        <v>329</v>
      </c>
      <c r="C83" s="259"/>
      <c r="D83" s="259"/>
      <c r="E83" s="259"/>
      <c r="F83" s="259"/>
      <c r="G83" s="259"/>
      <c r="H83" s="93"/>
      <c r="I83" s="93"/>
      <c r="J83" s="93">
        <f>+J82</f>
        <v>800000</v>
      </c>
      <c r="K83" s="93"/>
      <c r="L83" s="134">
        <v>800000</v>
      </c>
      <c r="M83" s="131"/>
    </row>
    <row r="84" spans="2:13" s="3" customFormat="1" ht="3.75" customHeight="1" x14ac:dyDescent="0.2">
      <c r="B84" s="13"/>
      <c r="C84" s="13"/>
      <c r="D84" s="132"/>
      <c r="E84" s="13"/>
      <c r="F84" s="13"/>
      <c r="G84" s="13"/>
      <c r="H84" s="11"/>
      <c r="I84" s="11"/>
      <c r="J84" s="11"/>
      <c r="K84" s="11"/>
      <c r="L84" s="11"/>
      <c r="M84" s="130"/>
    </row>
    <row r="85" spans="2:13" s="3" customFormat="1" ht="10.7" customHeight="1" x14ac:dyDescent="0.15">
      <c r="B85" s="127" t="s">
        <v>548</v>
      </c>
      <c r="C85" s="127"/>
      <c r="D85" s="128" t="s">
        <v>560</v>
      </c>
      <c r="E85" s="127" t="s">
        <v>613</v>
      </c>
      <c r="F85" s="127" t="s">
        <v>457</v>
      </c>
      <c r="G85" s="127" t="s">
        <v>614</v>
      </c>
      <c r="H85" s="20"/>
      <c r="I85" s="20">
        <v>15000000</v>
      </c>
      <c r="J85" s="129">
        <v>0</v>
      </c>
      <c r="K85" s="129"/>
      <c r="L85" s="10">
        <v>0</v>
      </c>
      <c r="M85" s="130" t="s">
        <v>410</v>
      </c>
    </row>
    <row r="86" spans="2:13" s="3" customFormat="1" ht="10.7" customHeight="1" x14ac:dyDescent="0.15">
      <c r="B86" s="12" t="s">
        <v>548</v>
      </c>
      <c r="C86" s="12"/>
      <c r="D86" s="22" t="s">
        <v>560</v>
      </c>
      <c r="E86" s="12" t="s">
        <v>615</v>
      </c>
      <c r="F86" s="12" t="s">
        <v>457</v>
      </c>
      <c r="G86" s="4"/>
      <c r="H86" s="15">
        <v>15000000</v>
      </c>
      <c r="I86" s="15"/>
      <c r="J86" s="10">
        <f>8800000+H86</f>
        <v>23800000</v>
      </c>
      <c r="K86" s="10"/>
      <c r="L86" s="10">
        <v>23800000</v>
      </c>
      <c r="M86" s="130" t="s">
        <v>410</v>
      </c>
    </row>
    <row r="87" spans="2:13" s="3" customFormat="1" ht="10.7" customHeight="1" x14ac:dyDescent="0.15">
      <c r="B87" s="127" t="s">
        <v>548</v>
      </c>
      <c r="C87" s="127"/>
      <c r="D87" s="128" t="s">
        <v>560</v>
      </c>
      <c r="E87" s="127" t="s">
        <v>616</v>
      </c>
      <c r="F87" s="127" t="s">
        <v>457</v>
      </c>
      <c r="G87" s="133"/>
      <c r="H87" s="20"/>
      <c r="I87" s="20"/>
      <c r="J87" s="129">
        <v>180000</v>
      </c>
      <c r="K87" s="129"/>
      <c r="L87" s="10">
        <v>180000</v>
      </c>
      <c r="M87" s="130"/>
    </row>
    <row r="88" spans="2:13" s="3" customFormat="1" ht="10.7" customHeight="1" x14ac:dyDescent="0.15">
      <c r="B88" s="12" t="s">
        <v>548</v>
      </c>
      <c r="C88" s="12"/>
      <c r="D88" s="22" t="s">
        <v>587</v>
      </c>
      <c r="E88" s="12" t="s">
        <v>617</v>
      </c>
      <c r="F88" s="12" t="s">
        <v>457</v>
      </c>
      <c r="G88" s="4"/>
      <c r="H88" s="15"/>
      <c r="I88" s="15"/>
      <c r="J88" s="10">
        <v>78573</v>
      </c>
      <c r="K88" s="10"/>
      <c r="L88" s="10">
        <v>78573</v>
      </c>
      <c r="M88" s="130"/>
    </row>
    <row r="89" spans="2:13" s="3" customFormat="1" ht="12.75" customHeight="1" x14ac:dyDescent="0.15">
      <c r="B89" s="259" t="s">
        <v>456</v>
      </c>
      <c r="C89" s="259"/>
      <c r="D89" s="259"/>
      <c r="E89" s="259"/>
      <c r="F89" s="259"/>
      <c r="G89" s="259"/>
      <c r="H89" s="93"/>
      <c r="I89" s="93"/>
      <c r="J89" s="93">
        <f>SUM(J85:J88)</f>
        <v>24058573</v>
      </c>
      <c r="K89" s="93">
        <f>+K88+K87+K86+K85</f>
        <v>0</v>
      </c>
      <c r="L89" s="134">
        <v>24058573</v>
      </c>
      <c r="M89" s="131"/>
    </row>
    <row r="90" spans="2:13" s="3" customFormat="1" ht="3.75" customHeight="1" x14ac:dyDescent="0.2">
      <c r="B90" s="13"/>
      <c r="C90" s="13"/>
      <c r="D90" s="132"/>
      <c r="E90" s="13"/>
      <c r="F90" s="13"/>
      <c r="G90" s="13"/>
      <c r="H90" s="11"/>
      <c r="I90" s="11"/>
      <c r="J90" s="11"/>
      <c r="K90" s="11"/>
      <c r="L90" s="11"/>
      <c r="M90" s="130"/>
    </row>
    <row r="91" spans="2:13" s="3" customFormat="1" ht="10.7" customHeight="1" x14ac:dyDescent="0.15">
      <c r="B91" s="127" t="s">
        <v>548</v>
      </c>
      <c r="C91" s="127"/>
      <c r="D91" s="128" t="s">
        <v>552</v>
      </c>
      <c r="E91" s="127" t="s">
        <v>618</v>
      </c>
      <c r="F91" s="127" t="s">
        <v>362</v>
      </c>
      <c r="G91" s="127" t="s">
        <v>363</v>
      </c>
      <c r="H91" s="20"/>
      <c r="I91" s="20"/>
      <c r="J91" s="129">
        <v>27975970</v>
      </c>
      <c r="K91" s="129">
        <f>+J91-L91</f>
        <v>2892341.6700000018</v>
      </c>
      <c r="L91" s="10">
        <v>25083628.329999998</v>
      </c>
      <c r="M91" s="130">
        <v>6217</v>
      </c>
    </row>
    <row r="92" spans="2:13" s="3" customFormat="1" ht="10.7" customHeight="1" x14ac:dyDescent="0.15">
      <c r="B92" s="12" t="s">
        <v>548</v>
      </c>
      <c r="C92" s="12"/>
      <c r="D92" s="22" t="s">
        <v>552</v>
      </c>
      <c r="E92" s="12" t="s">
        <v>619</v>
      </c>
      <c r="F92" s="12" t="s">
        <v>362</v>
      </c>
      <c r="G92" s="4"/>
      <c r="H92" s="15"/>
      <c r="I92" s="15"/>
      <c r="J92" s="10">
        <v>0</v>
      </c>
      <c r="K92" s="10"/>
      <c r="L92" s="10">
        <v>0</v>
      </c>
      <c r="M92" s="130"/>
    </row>
    <row r="93" spans="2:13" s="3" customFormat="1" ht="10.7" customHeight="1" x14ac:dyDescent="0.15">
      <c r="B93" s="127" t="s">
        <v>548</v>
      </c>
      <c r="C93" s="127"/>
      <c r="D93" s="128" t="s">
        <v>552</v>
      </c>
      <c r="E93" s="127" t="s">
        <v>620</v>
      </c>
      <c r="F93" s="127" t="s">
        <v>362</v>
      </c>
      <c r="G93" s="133"/>
      <c r="H93" s="20"/>
      <c r="I93" s="20"/>
      <c r="J93" s="129">
        <v>2738030</v>
      </c>
      <c r="K93" s="129">
        <f>+J93-L93</f>
        <v>0</v>
      </c>
      <c r="L93" s="10">
        <v>2738030</v>
      </c>
      <c r="M93" s="130"/>
    </row>
    <row r="94" spans="2:13" s="3" customFormat="1" ht="10.7" customHeight="1" x14ac:dyDescent="0.15">
      <c r="B94" s="12" t="s">
        <v>548</v>
      </c>
      <c r="C94" s="12"/>
      <c r="D94" s="22" t="s">
        <v>552</v>
      </c>
      <c r="E94" s="12" t="s">
        <v>621</v>
      </c>
      <c r="F94" s="12" t="s">
        <v>362</v>
      </c>
      <c r="G94" s="4"/>
      <c r="H94" s="15"/>
      <c r="I94" s="15"/>
      <c r="J94" s="10">
        <v>13300000</v>
      </c>
      <c r="K94" s="129">
        <f t="shared" ref="K94:K96" si="1">+J94-L94</f>
        <v>0</v>
      </c>
      <c r="L94" s="10">
        <v>13300000</v>
      </c>
      <c r="M94" s="130"/>
    </row>
    <row r="95" spans="2:13" s="3" customFormat="1" ht="10.7" customHeight="1" x14ac:dyDescent="0.15">
      <c r="B95" s="127" t="s">
        <v>548</v>
      </c>
      <c r="C95" s="127"/>
      <c r="D95" s="128" t="s">
        <v>552</v>
      </c>
      <c r="E95" s="127" t="s">
        <v>622</v>
      </c>
      <c r="F95" s="127" t="s">
        <v>362</v>
      </c>
      <c r="G95" s="133"/>
      <c r="H95" s="20"/>
      <c r="I95" s="20"/>
      <c r="J95" s="129">
        <v>44000000</v>
      </c>
      <c r="K95" s="129">
        <f t="shared" si="1"/>
        <v>0</v>
      </c>
      <c r="L95" s="10">
        <v>44000000</v>
      </c>
      <c r="M95" s="130"/>
    </row>
    <row r="96" spans="2:13" s="3" customFormat="1" ht="10.7" customHeight="1" x14ac:dyDescent="0.15">
      <c r="B96" s="12" t="s">
        <v>581</v>
      </c>
      <c r="C96" s="12" t="s">
        <v>623</v>
      </c>
      <c r="D96" s="22" t="s">
        <v>583</v>
      </c>
      <c r="E96" s="12" t="s">
        <v>624</v>
      </c>
      <c r="F96" s="12" t="s">
        <v>362</v>
      </c>
      <c r="G96" s="4"/>
      <c r="H96" s="15"/>
      <c r="I96" s="15">
        <v>22000000</v>
      </c>
      <c r="J96" s="10">
        <v>4000000</v>
      </c>
      <c r="K96" s="129">
        <f t="shared" si="1"/>
        <v>0</v>
      </c>
      <c r="L96" s="10">
        <v>4000000</v>
      </c>
      <c r="M96" s="130" t="s">
        <v>554</v>
      </c>
    </row>
    <row r="97" spans="2:13" s="3" customFormat="1" ht="12.75" customHeight="1" x14ac:dyDescent="0.15">
      <c r="B97" s="259" t="s">
        <v>382</v>
      </c>
      <c r="C97" s="259"/>
      <c r="D97" s="259"/>
      <c r="E97" s="259"/>
      <c r="F97" s="259"/>
      <c r="G97" s="259"/>
      <c r="H97" s="93"/>
      <c r="I97" s="93"/>
      <c r="J97" s="93">
        <f>SUM(J91:J96)</f>
        <v>92014000</v>
      </c>
      <c r="K97" s="93">
        <f>SUM(K91:K96)</f>
        <v>2892341.6700000018</v>
      </c>
      <c r="L97" s="93">
        <v>89121658.329999998</v>
      </c>
      <c r="M97" s="131"/>
    </row>
    <row r="98" spans="2:13" s="3" customFormat="1" ht="3.75" customHeight="1" x14ac:dyDescent="0.2">
      <c r="B98" s="13"/>
      <c r="C98" s="13"/>
      <c r="D98" s="132"/>
      <c r="E98" s="13"/>
      <c r="F98" s="13"/>
      <c r="G98" s="13"/>
      <c r="H98" s="11"/>
      <c r="I98" s="11"/>
      <c r="J98" s="11"/>
      <c r="K98" s="11"/>
      <c r="L98" s="11"/>
      <c r="M98" s="130"/>
    </row>
    <row r="99" spans="2:13" s="3" customFormat="1" ht="10.7" customHeight="1" x14ac:dyDescent="0.15">
      <c r="B99" s="127" t="s">
        <v>581</v>
      </c>
      <c r="C99" s="127" t="s">
        <v>623</v>
      </c>
      <c r="D99" s="128" t="s">
        <v>583</v>
      </c>
      <c r="E99" s="127" t="s">
        <v>625</v>
      </c>
      <c r="F99" s="127" t="s">
        <v>626</v>
      </c>
      <c r="G99" s="127" t="s">
        <v>627</v>
      </c>
      <c r="H99" s="20">
        <f>+J99</f>
        <v>22000000</v>
      </c>
      <c r="I99" s="20"/>
      <c r="J99" s="129">
        <v>22000000</v>
      </c>
      <c r="K99" s="129"/>
      <c r="L99" s="10">
        <v>0</v>
      </c>
      <c r="M99" s="130" t="s">
        <v>554</v>
      </c>
    </row>
    <row r="100" spans="2:13" s="3" customFormat="1" ht="12.75" customHeight="1" x14ac:dyDescent="0.15">
      <c r="B100" s="259" t="s">
        <v>628</v>
      </c>
      <c r="C100" s="259"/>
      <c r="D100" s="259"/>
      <c r="E100" s="259"/>
      <c r="F100" s="259"/>
      <c r="G100" s="259"/>
      <c r="H100" s="93"/>
      <c r="I100" s="93"/>
      <c r="J100" s="93">
        <f>+J99</f>
        <v>22000000</v>
      </c>
      <c r="K100" s="93">
        <f>+K99</f>
        <v>0</v>
      </c>
      <c r="L100" s="134">
        <f>+L99</f>
        <v>0</v>
      </c>
      <c r="M100" s="131"/>
    </row>
    <row r="101" spans="2:13" s="3" customFormat="1" ht="3.75" customHeight="1" x14ac:dyDescent="0.2">
      <c r="B101" s="13"/>
      <c r="C101" s="13"/>
      <c r="D101" s="132"/>
      <c r="E101" s="13"/>
      <c r="F101" s="13"/>
      <c r="G101" s="13"/>
      <c r="H101" s="11"/>
      <c r="I101" s="11"/>
      <c r="J101" s="11"/>
      <c r="K101" s="11"/>
      <c r="L101" s="11"/>
      <c r="M101" s="130"/>
    </row>
    <row r="102" spans="2:13" s="3" customFormat="1" ht="14.45" customHeight="1" x14ac:dyDescent="0.15">
      <c r="B102" s="273" t="s">
        <v>383</v>
      </c>
      <c r="C102" s="273"/>
      <c r="D102" s="273"/>
      <c r="E102" s="273"/>
      <c r="F102" s="137"/>
      <c r="G102" s="137"/>
      <c r="H102" s="138"/>
      <c r="I102" s="138"/>
      <c r="J102" s="138">
        <f>+J100+J97+J89+J83+J80+J76+J73+J70+J67+J61+J55+J52+J47+J43+J38+J35+J23+J19+J16+J10+J4</f>
        <v>6274036691</v>
      </c>
      <c r="K102" s="138"/>
      <c r="L102" s="139">
        <v>5269469962.9399996</v>
      </c>
      <c r="M102" s="138"/>
    </row>
    <row r="103" spans="2:13" s="3" customFormat="1" ht="28.9" customHeight="1" x14ac:dyDescent="0.15">
      <c r="D103" s="140"/>
      <c r="H103" s="141"/>
      <c r="I103" s="141"/>
      <c r="J103" s="141"/>
      <c r="K103" s="141"/>
      <c r="L103" s="141"/>
      <c r="M103" s="142"/>
    </row>
  </sheetData>
  <mergeCells count="22">
    <mergeCell ref="B89:G89"/>
    <mergeCell ref="B97:G97"/>
    <mergeCell ref="B100:G100"/>
    <mergeCell ref="B102:E102"/>
    <mergeCell ref="B67:G67"/>
    <mergeCell ref="B70:G70"/>
    <mergeCell ref="B73:G73"/>
    <mergeCell ref="B76:G76"/>
    <mergeCell ref="B80:G80"/>
    <mergeCell ref="B83:G83"/>
    <mergeCell ref="B61:G61"/>
    <mergeCell ref="B4:G4"/>
    <mergeCell ref="B10:G10"/>
    <mergeCell ref="B16:G16"/>
    <mergeCell ref="B19:G19"/>
    <mergeCell ref="B23:G23"/>
    <mergeCell ref="B35:G35"/>
    <mergeCell ref="B38:G38"/>
    <mergeCell ref="B43:G43"/>
    <mergeCell ref="B47:G47"/>
    <mergeCell ref="B52:G52"/>
    <mergeCell ref="B55:G55"/>
  </mergeCells>
  <pageMargins left="0.7" right="0.7" top="0.75" bottom="0.75" header="0.3" footer="0.3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8691426BB29A40BE0DCF5AC8B4B500" ma:contentTypeVersion="2" ma:contentTypeDescription="Create a new document." ma:contentTypeScope="" ma:versionID="ea6de69567d912939abbf0e3cf22b376">
  <xsd:schema xmlns:xsd="http://www.w3.org/2001/XMLSchema" xmlns:xs="http://www.w3.org/2001/XMLSchema" xmlns:p="http://schemas.microsoft.com/office/2006/metadata/properties" xmlns:ns2="dfdbacd4-9b31-4004-9290-c3ec68adfc69" targetNamespace="http://schemas.microsoft.com/office/2006/metadata/properties" ma:root="true" ma:fieldsID="73e1dcbf1be718862448ad0fe421b1fc" ns2:_="">
    <xsd:import namespace="dfdbacd4-9b31-4004-9290-c3ec68adfc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acd4-9b31-4004-9290-c3ec68adf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1CC39F-7733-4CBF-BCDA-3EBB305DE1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91F73B-96B6-4625-9B71-8F36306E6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dbacd4-9b31-4004-9290-c3ec68adfc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F11C29-CEC3-4E76-991A-B136D74E925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Partida 1</vt:lpstr>
      <vt:lpstr>Partida 2</vt:lpstr>
      <vt:lpstr>Partida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Greivin Fallas</cp:lastModifiedBy>
  <cp:revision/>
  <cp:lastPrinted>2022-10-17T15:04:24Z</cp:lastPrinted>
  <dcterms:created xsi:type="dcterms:W3CDTF">2022-01-13T12:09:17Z</dcterms:created>
  <dcterms:modified xsi:type="dcterms:W3CDTF">2022-10-17T15:04:31Z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0x010100DB8691426BB29A40BE0DCF5AC8B4B500</vt:lpwstr>
  </property>
</Properties>
</file>